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2"/>
  </bookViews>
  <sheets>
    <sheet name="მოვლა - შენახვა" sheetId="1" r:id="rId1"/>
    <sheet name="წარმომადგენლობითი" sheetId="3" r:id="rId2"/>
    <sheet name="საწვავი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C15" i="3"/>
  <c r="C14" i="1" l="1"/>
  <c r="C4" i="1" l="1"/>
  <c r="M14" i="4"/>
  <c r="L14" i="4"/>
  <c r="K14" i="4"/>
  <c r="J14" i="4"/>
  <c r="I14" i="4"/>
  <c r="H14" i="4"/>
  <c r="G14" i="4"/>
  <c r="F14" i="4"/>
  <c r="E14" i="4"/>
  <c r="D14" i="4"/>
  <c r="C14" i="4"/>
  <c r="C4" i="4" l="1"/>
  <c r="C10" i="4"/>
  <c r="C13" i="4"/>
  <c r="C6" i="4"/>
  <c r="C11" i="4"/>
  <c r="C12" i="4"/>
  <c r="C9" i="4"/>
  <c r="C8" i="4"/>
  <c r="C5" i="4"/>
  <c r="D10" i="4"/>
  <c r="D4" i="4"/>
  <c r="D5" i="4"/>
  <c r="D7" i="4"/>
  <c r="D11" i="4"/>
  <c r="D6" i="4"/>
  <c r="D9" i="4"/>
  <c r="D13" i="4"/>
  <c r="D12" i="4"/>
  <c r="D8" i="4"/>
  <c r="E5" i="4"/>
  <c r="E8" i="4"/>
  <c r="E10" i="4"/>
  <c r="E4" i="4"/>
  <c r="E12" i="4"/>
  <c r="E7" i="4"/>
  <c r="E11" i="4"/>
  <c r="E9" i="4"/>
  <c r="E13" i="4"/>
  <c r="E6" i="4"/>
  <c r="F7" i="4"/>
  <c r="F11" i="4"/>
  <c r="F13" i="4"/>
  <c r="F6" i="4"/>
  <c r="F4" i="4"/>
  <c r="F9" i="4"/>
  <c r="F12" i="4"/>
  <c r="F5" i="4"/>
  <c r="F8" i="4"/>
  <c r="G5" i="4"/>
  <c r="G8" i="4"/>
  <c r="G11" i="4"/>
  <c r="G12" i="4"/>
  <c r="G6" i="4"/>
  <c r="G9" i="4"/>
  <c r="G4" i="4"/>
  <c r="G13" i="4"/>
  <c r="H12" i="4"/>
  <c r="H10" i="4"/>
  <c r="H7" i="4"/>
  <c r="H11" i="4"/>
  <c r="H13" i="4"/>
  <c r="H4" i="4"/>
  <c r="H6" i="4"/>
  <c r="H9" i="4"/>
  <c r="H8" i="4"/>
  <c r="H5" i="4"/>
  <c r="I8" i="4"/>
  <c r="I5" i="4"/>
  <c r="I11" i="4"/>
  <c r="I9" i="4"/>
  <c r="I12" i="4"/>
  <c r="I6" i="4"/>
  <c r="I7" i="4"/>
  <c r="I4" i="4"/>
  <c r="I10" i="4"/>
  <c r="J11" i="4"/>
  <c r="J12" i="4"/>
  <c r="J7" i="4"/>
  <c r="J6" i="4"/>
  <c r="J4" i="4"/>
  <c r="J9" i="4"/>
  <c r="J10" i="4"/>
  <c r="K8" i="4"/>
  <c r="J8" i="4"/>
  <c r="J5" i="4"/>
  <c r="K4" i="4"/>
  <c r="K5" i="4"/>
  <c r="K6" i="4"/>
  <c r="K7" i="4"/>
  <c r="K9" i="4"/>
  <c r="K10" i="4"/>
  <c r="K11" i="4"/>
  <c r="L12" i="4"/>
  <c r="K12" i="4"/>
  <c r="M8" i="4"/>
  <c r="L8" i="4"/>
  <c r="L5" i="4"/>
  <c r="M5" i="4"/>
  <c r="L4" i="4"/>
  <c r="L13" i="4"/>
  <c r="L11" i="4"/>
  <c r="L10" i="4"/>
  <c r="L9" i="4"/>
  <c r="L6" i="4"/>
  <c r="M4" i="4"/>
  <c r="M9" i="4"/>
  <c r="M10" i="4"/>
  <c r="M11" i="4"/>
  <c r="M12" i="4"/>
  <c r="M6" i="4"/>
  <c r="M7" i="4"/>
  <c r="C7" i="1" l="1"/>
  <c r="C8" i="1"/>
  <c r="C5" i="1"/>
  <c r="C12" i="1"/>
  <c r="C10" i="1"/>
  <c r="C9" i="1"/>
  <c r="C11" i="1"/>
  <c r="C6" i="1"/>
  <c r="C13" i="1"/>
</calcChain>
</file>

<file path=xl/sharedStrings.xml><?xml version="1.0" encoding="utf-8"?>
<sst xmlns="http://schemas.openxmlformats.org/spreadsheetml/2006/main" count="74" uniqueCount="55">
  <si>
    <t>ტოიოტა ჰაილუქსი_2012_II110JJ</t>
  </si>
  <si>
    <t>ტოიოტა პრადო_2008_IL020LL</t>
  </si>
  <si>
    <t>ნივა _2010_ID335DD</t>
  </si>
  <si>
    <t>RENAULT-DUSTER; _PP594FF</t>
  </si>
  <si>
    <t>RENAULT-DUSTER; _BB239BC</t>
  </si>
  <si>
    <t>RENAULT-DUSTER; _BB237BC</t>
  </si>
  <si>
    <t>RENAULT-DUSTER; _BB238BC</t>
  </si>
  <si>
    <t>მიცუბიში _2010-QQ404QI</t>
  </si>
  <si>
    <t>მიცუბიში _2009_SS108SO</t>
  </si>
  <si>
    <t>მანქანები</t>
  </si>
  <si>
    <t>ფორდ რეინჯერი _BB207BC</t>
  </si>
  <si>
    <t>დახარჯული თანხა</t>
  </si>
  <si>
    <t>სამორიგეო</t>
  </si>
  <si>
    <t>განპიროვნებული _კონსტანტინე თავზარაშვილზე</t>
  </si>
  <si>
    <t>მუნიციპალიტეტის მერია</t>
  </si>
  <si>
    <t>მერიის სტუმრების გამასპინძლების ღირებულება</t>
  </si>
  <si>
    <t>ჩინეთის დელეგაციის სადილისათვის გაწეული ხარჯი</t>
  </si>
  <si>
    <t>ამერიკის ელჩის ვიზიტთან დაკავშირებით მოწვეული სტუმრების გამასპინძლების ღირებულება</t>
  </si>
  <si>
    <t>ამერიკის ელჩის ვიზიტთან დაკავშირებული სასაჩუქრე თაიგულის ღირებულება</t>
  </si>
  <si>
    <t xml:space="preserve"> კულტურისა და ძეგლთა დაცვის სამინისტროს
დელეგაცია უცხოელ სტუმრებთან ერთად, რომლებმაც მოინახულეს მუნიციპალიტეტში არსებული კულტურული
ძეგლები.
</t>
  </si>
  <si>
    <t>23 თებერვალს გორის მუნიციპალიტეტის მერიაში გაიმართა შეხვედრა ევრო საბჭოს კონგრესისა და ადგილობრივ ხელისუფლების წარმომადგენლებს შორის სოფ ხურვალეთის გამყოფი ხაზის მონახულების და მიმდინარე პროცესების გაცნობის მიზნით.</t>
  </si>
  <si>
    <t>ს 20 თებერვალს გორის მუნიციპალიტეტის მერიას სტუმრობდა ორგანიზაცია - " ქალები მშვიდობისა და სიცოცხლისათვის" წარმომადგენლები და ორი დონორი ამერიკიდან, რომლებმაც გორის მუნიციპალიტეტში მცხოვრებ შშმ პირებს გადასცეს ეტლები.</t>
  </si>
  <si>
    <t>პროფესიული განვითარების გეგმის მიხედვით საჯარო მოხელეების გადამზადების პროგრამის - "ადმინისტრაციული წარმოება"ს ფარგლებში გორის მუნიციპალიტეტის მერიის</t>
  </si>
  <si>
    <t xml:space="preserve">21 თებერვალს გორის მუნიციპალიტეტის მოსახლეობის, უსასყიდლოდ გადასინჯვის აქციის
ფარგლებში გორის მუნიციპალიტეტს სტუმრობდნენ თბილისის სხვადასხვა კლინიკებიდან მოწვეული ექიმები.წვეულებისა და ღონისძიების ხარჯი  </t>
  </si>
  <si>
    <t xml:space="preserve">გორის საპატიო მოქალაქისათვის, მუნიციპალიტეტის კოლორიტ ბატონ ავთანდილ ლობჟანიძის 90 წლის
საიუბილეო თარიღთან დაკავშირებით შეძენილისასაჩუქრე ღვინოების ღირებულება </t>
  </si>
  <si>
    <t>მუნიციპალიტეტის, ქ. გორში "ახალბაღი"ს ღია
კინოთეატრში გაიმართა კინოფილმის - "ექვთიმე ღვთისკაცი"ს ჩვენება. ფილმის ჩვენებას ესწრებოდნენ
დიპლომატიური კორპუსისა და ადგილობრივი ხელისუფლების წარმომადგენლები. სტუმრებისათვის წვეულებისა და ღონისძიების ხარჯი</t>
  </si>
  <si>
    <t>2020 წელს  მერიის მანქანების მოვლა -შენახვაზე გახარჯული თანხები</t>
  </si>
  <si>
    <t>თარიღი</t>
  </si>
  <si>
    <t>დასახელება</t>
  </si>
  <si>
    <t>თანხა</t>
  </si>
  <si>
    <t>გადახდის დანიშნულება</t>
  </si>
  <si>
    <t>2020 წელს გორის მერიის წარმომადგენლობითი ხარჯი</t>
  </si>
  <si>
    <t>2020 წელს  მერიის მანქანების საწვავის ხარჯი</t>
  </si>
  <si>
    <t xml:space="preserve">იანვარი </t>
  </si>
  <si>
    <t xml:space="preserve">თებერვალი </t>
  </si>
  <si>
    <t>მარტი</t>
  </si>
  <si>
    <t xml:space="preserve">აპრილი </t>
  </si>
  <si>
    <t>მაისი</t>
  </si>
  <si>
    <t>ივნისი</t>
  </si>
  <si>
    <t xml:space="preserve">ივლისი </t>
  </si>
  <si>
    <t xml:space="preserve">აგვისტო </t>
  </si>
  <si>
    <t>სექტემბერი</t>
  </si>
  <si>
    <t>ოქტომბერი</t>
  </si>
  <si>
    <t>ნოემბერი</t>
  </si>
  <si>
    <t>ტოიოტა ჰაილუქსი_2012_II110JJ _დიზელი</t>
  </si>
  <si>
    <t>ტოიოტა პრადო_2008_IL020LL_ბენზინი</t>
  </si>
  <si>
    <t>მიცუბიში _2009_SS108SO_დიზელი</t>
  </si>
  <si>
    <t>მიცუბიში _2010-QQ404QI_დიზელი</t>
  </si>
  <si>
    <t>ნივა _2010_ID335DD_ბენზინი</t>
  </si>
  <si>
    <t>RENAULT-DUSTER; _PP594FF_დიზელი</t>
  </si>
  <si>
    <t>RENAULT-DUSTER; _BB237BC_დიზელი</t>
  </si>
  <si>
    <t>RENAULT-DUSTER; _BB238BC_დიზელი</t>
  </si>
  <si>
    <t>RENAULT-DUSTER; _BB239BC_დიზელი</t>
  </si>
  <si>
    <t>ფორდ რეინჯერი _BB207BC_დიზელი</t>
  </si>
  <si>
    <t>სულ 11 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</si>
</sst>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dd/mm/yyyy"/>
    <numFmt numFmtId="165" formatCode="[$-10409]#,##0.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</font>
    <font>
      <sz val="8"/>
      <color rgb="FF000000"/>
      <name val="Sylfaen"/>
    </font>
    <font>
      <b/>
      <sz val="8"/>
      <color rgb="FF000000"/>
      <name val="Sylfaen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2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right" vertic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5" sqref="C15"/>
    </sheetView>
  </sheetViews>
  <sheetFormatPr defaultRowHeight="14.4" x14ac:dyDescent="0.3"/>
  <cols>
    <col min="2" max="2" width="39" customWidth="1"/>
    <col min="3" max="3" width="24.33203125" customWidth="1"/>
    <col min="4" max="4" width="33.109375" customWidth="1"/>
  </cols>
  <sheetData>
    <row r="1" spans="1:4" ht="32.25" customHeight="1" x14ac:dyDescent="0.3">
      <c r="A1" s="20" t="s">
        <v>26</v>
      </c>
      <c r="B1" s="20"/>
      <c r="C1" s="20"/>
      <c r="D1" s="20"/>
    </row>
    <row r="2" spans="1:4" ht="32.25" customHeight="1" x14ac:dyDescent="0.3">
      <c r="A2" s="19"/>
      <c r="B2" s="19"/>
      <c r="C2" s="19"/>
      <c r="D2" s="19"/>
    </row>
    <row r="3" spans="1:4" ht="27" customHeight="1" x14ac:dyDescent="0.3">
      <c r="A3" s="2"/>
      <c r="B3" s="2" t="s">
        <v>9</v>
      </c>
      <c r="C3" s="2" t="s">
        <v>11</v>
      </c>
    </row>
    <row r="4" spans="1:4" ht="17.25" customHeight="1" x14ac:dyDescent="0.3">
      <c r="A4" s="1">
        <v>1</v>
      </c>
      <c r="B4" t="s">
        <v>0</v>
      </c>
      <c r="C4" s="1">
        <f>208.13+60+893.56+474.38+499.29</f>
        <v>2135.36</v>
      </c>
      <c r="D4" t="s">
        <v>12</v>
      </c>
    </row>
    <row r="5" spans="1:4" ht="35.25" customHeight="1" x14ac:dyDescent="0.3">
      <c r="A5" s="6">
        <v>2</v>
      </c>
      <c r="B5" s="3" t="s">
        <v>1</v>
      </c>
      <c r="C5" s="2">
        <f>158.29+60+65+1608.65+873.09+141.51+494.84+1471.8</f>
        <v>4873.18</v>
      </c>
      <c r="D5" s="9" t="s">
        <v>13</v>
      </c>
    </row>
    <row r="6" spans="1:4" ht="17.25" customHeight="1" x14ac:dyDescent="0.3">
      <c r="A6" s="6">
        <v>3</v>
      </c>
      <c r="B6" t="s">
        <v>8</v>
      </c>
      <c r="C6" s="1">
        <f>282+60+818.8+783.2+364.01</f>
        <v>2308.0100000000002</v>
      </c>
      <c r="D6" t="s">
        <v>12</v>
      </c>
    </row>
    <row r="7" spans="1:4" ht="17.25" customHeight="1" x14ac:dyDescent="0.3">
      <c r="A7" s="6">
        <v>4</v>
      </c>
      <c r="B7" t="s">
        <v>7</v>
      </c>
      <c r="C7" s="1">
        <f>282+60+4045.7+4106.06+4244.7+2050.84</f>
        <v>14789.3</v>
      </c>
      <c r="D7" t="s">
        <v>12</v>
      </c>
    </row>
    <row r="8" spans="1:4" ht="17.25" customHeight="1" x14ac:dyDescent="0.3">
      <c r="A8" s="6">
        <v>5</v>
      </c>
      <c r="B8" t="s">
        <v>2</v>
      </c>
      <c r="C8" s="1">
        <f>130+710+958+60</f>
        <v>1858</v>
      </c>
      <c r="D8" t="s">
        <v>12</v>
      </c>
    </row>
    <row r="9" spans="1:4" ht="17.25" customHeight="1" x14ac:dyDescent="0.3">
      <c r="A9" s="6">
        <v>6</v>
      </c>
      <c r="B9" t="s">
        <v>3</v>
      </c>
      <c r="C9" s="1">
        <f>145+130+145+215+145</f>
        <v>780</v>
      </c>
      <c r="D9" t="s">
        <v>12</v>
      </c>
    </row>
    <row r="10" spans="1:4" ht="17.25" customHeight="1" x14ac:dyDescent="0.3">
      <c r="A10" s="6">
        <v>7</v>
      </c>
      <c r="B10" t="s">
        <v>5</v>
      </c>
      <c r="C10" s="1">
        <f>130+220</f>
        <v>350</v>
      </c>
      <c r="D10" t="s">
        <v>12</v>
      </c>
    </row>
    <row r="11" spans="1:4" ht="17.25" customHeight="1" x14ac:dyDescent="0.3">
      <c r="A11" s="6">
        <v>8</v>
      </c>
      <c r="B11" t="s">
        <v>6</v>
      </c>
      <c r="C11" s="1">
        <f>130+145+215</f>
        <v>490</v>
      </c>
      <c r="D11" t="s">
        <v>12</v>
      </c>
    </row>
    <row r="12" spans="1:4" ht="17.25" customHeight="1" x14ac:dyDescent="0.3">
      <c r="A12" s="6">
        <v>9</v>
      </c>
      <c r="B12" t="s">
        <v>4</v>
      </c>
      <c r="C12" s="1">
        <f>130+145+215+145</f>
        <v>635</v>
      </c>
      <c r="D12" t="s">
        <v>12</v>
      </c>
    </row>
    <row r="13" spans="1:4" ht="17.25" customHeight="1" x14ac:dyDescent="0.3">
      <c r="A13" s="6">
        <v>10</v>
      </c>
      <c r="B13" t="s">
        <v>10</v>
      </c>
      <c r="C13" s="1">
        <f>65</f>
        <v>65</v>
      </c>
      <c r="D13" t="s">
        <v>12</v>
      </c>
    </row>
    <row r="14" spans="1:4" x14ac:dyDescent="0.3">
      <c r="C14">
        <f>SUM(C4:C13)</f>
        <v>28283.85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3" zoomScale="55" zoomScaleNormal="55" workbookViewId="0">
      <selection activeCell="C16" sqref="C16"/>
    </sheetView>
  </sheetViews>
  <sheetFormatPr defaultRowHeight="14.4" x14ac:dyDescent="0.3"/>
  <cols>
    <col min="1" max="1" width="17.6640625" customWidth="1"/>
    <col min="2" max="2" width="18.5546875" customWidth="1"/>
    <col min="3" max="3" width="12.6640625" customWidth="1"/>
    <col min="4" max="4" width="19.33203125" customWidth="1"/>
  </cols>
  <sheetData>
    <row r="1" spans="1:4" ht="38.25" customHeight="1" x14ac:dyDescent="0.3">
      <c r="A1" s="20" t="s">
        <v>31</v>
      </c>
      <c r="B1" s="20"/>
      <c r="C1" s="20"/>
      <c r="D1" s="20"/>
    </row>
    <row r="2" spans="1:4" ht="21.75" customHeight="1" x14ac:dyDescent="0.3"/>
    <row r="3" spans="1:4" ht="47.25" customHeight="1" x14ac:dyDescent="0.3">
      <c r="A3" s="8" t="s">
        <v>27</v>
      </c>
      <c r="B3" s="8" t="s">
        <v>28</v>
      </c>
      <c r="C3" s="8" t="s">
        <v>29</v>
      </c>
      <c r="D3" s="8" t="s">
        <v>30</v>
      </c>
    </row>
    <row r="4" spans="1:4" ht="58.5" customHeight="1" x14ac:dyDescent="0.3">
      <c r="A4" s="4">
        <v>43854.732658564797</v>
      </c>
      <c r="B4" s="5" t="s">
        <v>14</v>
      </c>
      <c r="C4" s="11">
        <v>360</v>
      </c>
      <c r="D4" s="10" t="s">
        <v>16</v>
      </c>
    </row>
    <row r="5" spans="1:4" ht="150.75" customHeight="1" x14ac:dyDescent="0.3">
      <c r="A5" s="4">
        <v>43885.5382712153</v>
      </c>
      <c r="B5" s="5" t="s">
        <v>14</v>
      </c>
      <c r="C5" s="11">
        <v>482.9</v>
      </c>
      <c r="D5" s="10" t="s">
        <v>19</v>
      </c>
    </row>
    <row r="6" spans="1:4" ht="180" customHeight="1" x14ac:dyDescent="0.3">
      <c r="A6" s="4">
        <v>43901.632776273102</v>
      </c>
      <c r="B6" s="5" t="s">
        <v>14</v>
      </c>
      <c r="C6" s="11">
        <v>478.85</v>
      </c>
      <c r="D6" s="10" t="s">
        <v>20</v>
      </c>
    </row>
    <row r="7" spans="1:4" ht="198.75" customHeight="1" x14ac:dyDescent="0.3">
      <c r="A7" s="4">
        <v>43901.641033993103</v>
      </c>
      <c r="B7" s="5" t="s">
        <v>14</v>
      </c>
      <c r="C7" s="11">
        <v>320</v>
      </c>
      <c r="D7" s="10" t="s">
        <v>21</v>
      </c>
    </row>
    <row r="8" spans="1:4" ht="156" customHeight="1" x14ac:dyDescent="0.3">
      <c r="A8" s="4">
        <v>43903.493783912003</v>
      </c>
      <c r="B8" s="5" t="s">
        <v>14</v>
      </c>
      <c r="C8" s="11">
        <v>184.6</v>
      </c>
      <c r="D8" s="10" t="s">
        <v>22</v>
      </c>
    </row>
    <row r="9" spans="1:4" ht="178.5" customHeight="1" x14ac:dyDescent="0.3">
      <c r="A9" s="4">
        <v>43907.472848067096</v>
      </c>
      <c r="B9" s="5" t="s">
        <v>14</v>
      </c>
      <c r="C9" s="11">
        <v>883.3</v>
      </c>
      <c r="D9" s="10" t="s">
        <v>23</v>
      </c>
    </row>
    <row r="10" spans="1:4" ht="93.75" customHeight="1" x14ac:dyDescent="0.3">
      <c r="A10" s="4">
        <v>44004.6993929745</v>
      </c>
      <c r="B10" s="5" t="s">
        <v>14</v>
      </c>
      <c r="C10" s="11">
        <v>370.37</v>
      </c>
      <c r="D10" s="10" t="s">
        <v>17</v>
      </c>
    </row>
    <row r="11" spans="1:4" ht="162" customHeight="1" x14ac:dyDescent="0.3">
      <c r="A11" s="4">
        <v>44014.610443518497</v>
      </c>
      <c r="B11" s="5" t="s">
        <v>14</v>
      </c>
      <c r="C11" s="11">
        <v>175</v>
      </c>
      <c r="D11" s="10" t="s">
        <v>24</v>
      </c>
    </row>
    <row r="12" spans="1:4" ht="71.25" customHeight="1" x14ac:dyDescent="0.3">
      <c r="A12" s="4">
        <v>44027.609051817097</v>
      </c>
      <c r="B12" s="5" t="s">
        <v>14</v>
      </c>
      <c r="C12" s="11">
        <v>50</v>
      </c>
      <c r="D12" s="10" t="s">
        <v>18</v>
      </c>
    </row>
    <row r="13" spans="1:4" ht="237" customHeight="1" x14ac:dyDescent="0.3">
      <c r="A13" s="4">
        <v>44050.478490474503</v>
      </c>
      <c r="B13" s="5" t="s">
        <v>14</v>
      </c>
      <c r="C13" s="11">
        <v>642</v>
      </c>
      <c r="D13" s="10" t="s">
        <v>25</v>
      </c>
    </row>
    <row r="14" spans="1:4" ht="68.25" customHeight="1" x14ac:dyDescent="0.3">
      <c r="A14" s="4">
        <v>44190.524384872697</v>
      </c>
      <c r="B14" s="5" t="s">
        <v>14</v>
      </c>
      <c r="C14" s="11">
        <v>76.959999999999994</v>
      </c>
      <c r="D14" s="10" t="s">
        <v>15</v>
      </c>
    </row>
    <row r="15" spans="1:4" x14ac:dyDescent="0.3">
      <c r="C15" s="21">
        <f>SUM(C4:C14)</f>
        <v>4023.9799999999996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N14" sqref="N14"/>
    </sheetView>
  </sheetViews>
  <sheetFormatPr defaultRowHeight="14.4" x14ac:dyDescent="0.3"/>
  <cols>
    <col min="2" max="2" width="42.109375" customWidth="1"/>
    <col min="3" max="3" width="16.33203125" customWidth="1"/>
    <col min="4" max="4" width="13.5546875" customWidth="1"/>
    <col min="8" max="8" width="9.5546875" bestFit="1" customWidth="1"/>
    <col min="11" max="11" width="14.109375" customWidth="1"/>
    <col min="12" max="12" width="13.5546875" customWidth="1"/>
    <col min="13" max="13" width="14.5546875" customWidth="1"/>
    <col min="14" max="14" width="12.33203125" bestFit="1" customWidth="1"/>
  </cols>
  <sheetData>
    <row r="1" spans="1:14" ht="32.25" customHeight="1" x14ac:dyDescent="0.3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32.25" customHeight="1" x14ac:dyDescent="0.3">
      <c r="A2" s="19"/>
      <c r="B2" s="19"/>
      <c r="C2" s="19"/>
      <c r="D2" s="19"/>
    </row>
    <row r="3" spans="1:14" ht="27" customHeight="1" x14ac:dyDescent="0.3">
      <c r="A3" s="7"/>
      <c r="B3" s="7" t="s">
        <v>9</v>
      </c>
      <c r="C3" s="7" t="s">
        <v>33</v>
      </c>
      <c r="D3" s="3" t="s">
        <v>34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39</v>
      </c>
      <c r="J3" s="7" t="s">
        <v>40</v>
      </c>
      <c r="K3" s="7" t="s">
        <v>41</v>
      </c>
      <c r="L3" s="7" t="s">
        <v>42</v>
      </c>
      <c r="M3" s="7" t="s">
        <v>43</v>
      </c>
      <c r="N3" s="18" t="s">
        <v>54</v>
      </c>
    </row>
    <row r="4" spans="1:14" ht="17.25" customHeight="1" x14ac:dyDescent="0.3">
      <c r="A4" s="6">
        <v>1</v>
      </c>
      <c r="B4" t="s">
        <v>44</v>
      </c>
      <c r="C4" s="6">
        <f>207*2.37</f>
        <v>490.59000000000003</v>
      </c>
      <c r="D4" s="12">
        <f>313.88*2.27</f>
        <v>712.50760000000002</v>
      </c>
      <c r="E4">
        <f>336*2.05</f>
        <v>688.8</v>
      </c>
      <c r="F4">
        <f>243*1.69</f>
        <v>410.66999999999996</v>
      </c>
      <c r="G4" s="12">
        <f>222.39*1.37</f>
        <v>304.67430000000002</v>
      </c>
      <c r="H4" s="13">
        <f>261.73*1.51</f>
        <v>395.21230000000003</v>
      </c>
      <c r="I4">
        <f>208*1.7</f>
        <v>353.59999999999997</v>
      </c>
      <c r="J4">
        <f>155*1.82</f>
        <v>282.10000000000002</v>
      </c>
      <c r="K4">
        <f>326*1.82</f>
        <v>593.32000000000005</v>
      </c>
      <c r="L4" s="6">
        <f>197*1.72</f>
        <v>338.84</v>
      </c>
      <c r="M4" s="6">
        <f>217*1.72</f>
        <v>373.24</v>
      </c>
    </row>
    <row r="5" spans="1:14" ht="24" customHeight="1" x14ac:dyDescent="0.3">
      <c r="A5" s="6">
        <v>2</v>
      </c>
      <c r="B5" s="3" t="s">
        <v>45</v>
      </c>
      <c r="C5" s="7">
        <f>511*2.24</f>
        <v>1144.6400000000001</v>
      </c>
      <c r="D5" s="14">
        <f>489.82*2.15</f>
        <v>1053.1129999999998</v>
      </c>
      <c r="E5">
        <f>268*2.01</f>
        <v>538.67999999999995</v>
      </c>
      <c r="F5">
        <f>142*1.46</f>
        <v>207.32</v>
      </c>
      <c r="G5">
        <f>302.6*1.19</f>
        <v>360.09399999999999</v>
      </c>
      <c r="H5">
        <f>470*1.45</f>
        <v>681.5</v>
      </c>
      <c r="I5">
        <f>497*1.66</f>
        <v>825.02</v>
      </c>
      <c r="J5">
        <f>495*1.75</f>
        <v>866.25</v>
      </c>
      <c r="K5">
        <f>630*1.75</f>
        <v>1102.5</v>
      </c>
      <c r="L5" s="6">
        <f>253*1.81</f>
        <v>457.93</v>
      </c>
      <c r="M5" s="6">
        <f>276*1.81</f>
        <v>499.56</v>
      </c>
    </row>
    <row r="6" spans="1:14" ht="17.25" customHeight="1" x14ac:dyDescent="0.3">
      <c r="A6" s="6">
        <v>3</v>
      </c>
      <c r="B6" t="s">
        <v>46</v>
      </c>
      <c r="C6" s="6">
        <f>245*2.37</f>
        <v>580.65</v>
      </c>
      <c r="D6">
        <f>206*2.27</f>
        <v>467.62</v>
      </c>
      <c r="E6">
        <f>209*2.05</f>
        <v>428.45</v>
      </c>
      <c r="F6">
        <f>179*1.69</f>
        <v>302.51</v>
      </c>
      <c r="G6">
        <f>208*1.37</f>
        <v>284.96000000000004</v>
      </c>
      <c r="H6" s="12">
        <f>109.01*1.51</f>
        <v>164.60510000000002</v>
      </c>
      <c r="I6">
        <f>145*1.7</f>
        <v>246.5</v>
      </c>
      <c r="J6">
        <f>151*0.82</f>
        <v>123.82</v>
      </c>
      <c r="K6">
        <f>167*1.82</f>
        <v>303.94</v>
      </c>
      <c r="L6" s="6">
        <f>215*1.72</f>
        <v>369.8</v>
      </c>
      <c r="M6" s="6">
        <f>91*1.72</f>
        <v>156.52000000000001</v>
      </c>
    </row>
    <row r="7" spans="1:14" ht="17.25" customHeight="1" x14ac:dyDescent="0.3">
      <c r="A7" s="6">
        <v>4</v>
      </c>
      <c r="B7" t="s">
        <v>47</v>
      </c>
      <c r="C7" s="6"/>
      <c r="D7">
        <f>50*2.27</f>
        <v>113.5</v>
      </c>
      <c r="E7">
        <f>139*2.05</f>
        <v>284.95</v>
      </c>
      <c r="F7" s="12">
        <f>281.64*1.69</f>
        <v>475.97159999999997</v>
      </c>
      <c r="H7">
        <f>245*1.51</f>
        <v>369.95</v>
      </c>
      <c r="I7">
        <f>161*1.7</f>
        <v>273.7</v>
      </c>
      <c r="J7">
        <f>300*1.82</f>
        <v>546</v>
      </c>
      <c r="K7">
        <f>281*1.82</f>
        <v>511.42</v>
      </c>
      <c r="L7" s="6"/>
      <c r="M7" s="6">
        <f>50*1.72</f>
        <v>86</v>
      </c>
    </row>
    <row r="8" spans="1:14" ht="17.25" customHeight="1" x14ac:dyDescent="0.3">
      <c r="A8" s="6">
        <v>5</v>
      </c>
      <c r="B8" t="s">
        <v>48</v>
      </c>
      <c r="C8" s="6">
        <f>180*2.24</f>
        <v>403.20000000000005</v>
      </c>
      <c r="D8">
        <f>247*2.15</f>
        <v>531.04999999999995</v>
      </c>
      <c r="E8">
        <f>220*2.01</f>
        <v>442.19999999999993</v>
      </c>
      <c r="F8" s="12">
        <f>299.29*1.46</f>
        <v>436.96340000000004</v>
      </c>
      <c r="G8">
        <f>265*1.19</f>
        <v>315.34999999999997</v>
      </c>
      <c r="H8">
        <f>202*1.45</f>
        <v>292.89999999999998</v>
      </c>
      <c r="I8">
        <f>300*1.66</f>
        <v>498</v>
      </c>
      <c r="J8">
        <f>300*1.75</f>
        <v>525</v>
      </c>
      <c r="K8">
        <f>300*1.75</f>
        <v>525</v>
      </c>
      <c r="L8" s="6">
        <f>300*1.81</f>
        <v>543</v>
      </c>
      <c r="M8" s="6">
        <f>300*1.81</f>
        <v>543</v>
      </c>
    </row>
    <row r="9" spans="1:14" ht="17.25" customHeight="1" x14ac:dyDescent="0.3">
      <c r="A9" s="6">
        <v>6</v>
      </c>
      <c r="B9" t="s">
        <v>49</v>
      </c>
      <c r="C9" s="6">
        <f>108*2.37</f>
        <v>255.96</v>
      </c>
      <c r="D9">
        <f>174*2.27</f>
        <v>394.98</v>
      </c>
      <c r="E9">
        <f>134*2.05</f>
        <v>274.7</v>
      </c>
      <c r="F9">
        <f>118*1.69</f>
        <v>199.42</v>
      </c>
      <c r="G9">
        <f>85*1.37</f>
        <v>116.45</v>
      </c>
      <c r="H9">
        <f>179*1.51</f>
        <v>270.29000000000002</v>
      </c>
      <c r="I9">
        <f>245*1.7</f>
        <v>416.5</v>
      </c>
      <c r="J9">
        <f>170*1.82</f>
        <v>309.40000000000003</v>
      </c>
      <c r="K9">
        <f>212*1.82</f>
        <v>385.84000000000003</v>
      </c>
      <c r="L9" s="6">
        <f>278*1.72</f>
        <v>478.15999999999997</v>
      </c>
      <c r="M9" s="6">
        <f>222*1.72</f>
        <v>381.84</v>
      </c>
    </row>
    <row r="10" spans="1:14" ht="17.25" customHeight="1" x14ac:dyDescent="0.3">
      <c r="A10" s="6">
        <v>7</v>
      </c>
      <c r="B10" t="s">
        <v>50</v>
      </c>
      <c r="C10" s="6">
        <f>125*2.37</f>
        <v>296.25</v>
      </c>
      <c r="D10">
        <f>126*2.27</f>
        <v>286.02</v>
      </c>
      <c r="E10">
        <f>39*2.05</f>
        <v>79.949999999999989</v>
      </c>
      <c r="H10">
        <f>126*1.51</f>
        <v>190.26</v>
      </c>
      <c r="I10">
        <f>173*1.7</f>
        <v>294.09999999999997</v>
      </c>
      <c r="J10">
        <f>162*1.82</f>
        <v>294.84000000000003</v>
      </c>
      <c r="K10">
        <f>144*1.82</f>
        <v>262.08</v>
      </c>
      <c r="L10" s="6">
        <f>158*1.72</f>
        <v>271.76</v>
      </c>
      <c r="M10" s="6">
        <f>147*1.72</f>
        <v>252.84</v>
      </c>
    </row>
    <row r="11" spans="1:14" ht="17.25" customHeight="1" x14ac:dyDescent="0.3">
      <c r="A11" s="6">
        <v>8</v>
      </c>
      <c r="B11" t="s">
        <v>51</v>
      </c>
      <c r="C11" s="6">
        <f>87*2.37</f>
        <v>206.19</v>
      </c>
      <c r="D11">
        <f>165*2.27</f>
        <v>374.55</v>
      </c>
      <c r="E11">
        <f>83*2.05</f>
        <v>170.14999999999998</v>
      </c>
      <c r="F11">
        <f>130*1.69</f>
        <v>219.7</v>
      </c>
      <c r="G11">
        <f>162*1.37</f>
        <v>221.94000000000003</v>
      </c>
      <c r="H11">
        <f>128*1.51</f>
        <v>193.28</v>
      </c>
      <c r="I11">
        <f>165*1.7</f>
        <v>280.5</v>
      </c>
      <c r="J11">
        <f>113*1.82</f>
        <v>205.66</v>
      </c>
      <c r="K11">
        <f>132*1.82</f>
        <v>240.24</v>
      </c>
      <c r="L11" s="6">
        <f>89*1.72</f>
        <v>153.07999999999998</v>
      </c>
      <c r="M11" s="6">
        <f>44*1.72</f>
        <v>75.679999999999993</v>
      </c>
    </row>
    <row r="12" spans="1:14" ht="17.25" customHeight="1" x14ac:dyDescent="0.3">
      <c r="A12" s="6">
        <v>9</v>
      </c>
      <c r="B12" t="s">
        <v>52</v>
      </c>
      <c r="C12" s="6">
        <f>113.73*2.37</f>
        <v>269.5401</v>
      </c>
      <c r="D12">
        <f>83*2.27</f>
        <v>188.41</v>
      </c>
      <c r="E12">
        <f>107*2.05</f>
        <v>219.35</v>
      </c>
      <c r="F12">
        <f>157*1.69</f>
        <v>265.33</v>
      </c>
      <c r="G12">
        <f>117*1.37</f>
        <v>160.29000000000002</v>
      </c>
      <c r="H12">
        <f>124*1.51</f>
        <v>187.24</v>
      </c>
      <c r="I12">
        <f>126*1.7</f>
        <v>214.2</v>
      </c>
      <c r="J12">
        <f>114*1.82</f>
        <v>207.48000000000002</v>
      </c>
      <c r="K12">
        <f>133*1.82</f>
        <v>242.06</v>
      </c>
      <c r="L12" s="6">
        <f>116*1.72</f>
        <v>199.52</v>
      </c>
      <c r="M12" s="6">
        <f>147*1.72</f>
        <v>252.84</v>
      </c>
    </row>
    <row r="13" spans="1:14" ht="17.25" customHeight="1" x14ac:dyDescent="0.3">
      <c r="A13" s="6">
        <v>10</v>
      </c>
      <c r="B13" t="s">
        <v>53</v>
      </c>
      <c r="C13" s="6">
        <f>63*2.37</f>
        <v>149.31</v>
      </c>
      <c r="D13">
        <f>118*2.27</f>
        <v>267.86</v>
      </c>
      <c r="E13">
        <f>120*2.05</f>
        <v>245.99999999999997</v>
      </c>
      <c r="F13">
        <f>136*1.69</f>
        <v>229.84</v>
      </c>
      <c r="G13">
        <f>187*1.37</f>
        <v>256.19</v>
      </c>
      <c r="H13">
        <f>67*1.51</f>
        <v>101.17</v>
      </c>
      <c r="L13" s="6">
        <f>65*1.72</f>
        <v>111.8</v>
      </c>
      <c r="M13" s="6"/>
    </row>
    <row r="14" spans="1:14" x14ac:dyDescent="0.3">
      <c r="C14" s="15">
        <f t="shared" ref="C14:M14" si="0">SUM(C4:C13)</f>
        <v>3796.3301000000001</v>
      </c>
      <c r="D14" s="15">
        <f t="shared" si="0"/>
        <v>4389.6105999999991</v>
      </c>
      <c r="E14" s="16">
        <f t="shared" si="0"/>
        <v>3373.2299999999996</v>
      </c>
      <c r="F14" s="15">
        <f t="shared" si="0"/>
        <v>2747.7249999999999</v>
      </c>
      <c r="G14" s="15">
        <f t="shared" si="0"/>
        <v>2019.9483</v>
      </c>
      <c r="H14" s="17">
        <f t="shared" si="0"/>
        <v>2846.407400000001</v>
      </c>
      <c r="I14" s="16">
        <f t="shared" si="0"/>
        <v>3402.1199999999994</v>
      </c>
      <c r="J14" s="16">
        <f t="shared" si="0"/>
        <v>3360.55</v>
      </c>
      <c r="K14" s="16">
        <f t="shared" si="0"/>
        <v>4166.4000000000005</v>
      </c>
      <c r="L14" s="16">
        <f t="shared" si="0"/>
        <v>2923.89</v>
      </c>
      <c r="M14" s="16">
        <f t="shared" si="0"/>
        <v>2621.52</v>
      </c>
      <c r="N14" s="22">
        <f>SUM(C14:M14)</f>
        <v>35647.731399999997</v>
      </c>
    </row>
  </sheetData>
  <mergeCells count="2">
    <mergeCell ref="A2:D2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მოვლა - შენახვა</vt:lpstr>
      <vt:lpstr>წარმომადგენლობითი</vt:lpstr>
      <vt:lpstr>საწვავი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2021-01-28T07:41:46Z</dcterms:modified>
</cp:coreProperties>
</file>