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6" l="1"/>
  <c r="I6" i="6"/>
  <c r="E6" i="6"/>
  <c r="D6" i="6"/>
  <c r="C6" i="6"/>
  <c r="M5" i="3" l="1"/>
  <c r="M9" i="3"/>
  <c r="M10" i="3"/>
  <c r="M7" i="3"/>
  <c r="M12" i="3"/>
  <c r="M6" i="3"/>
  <c r="M11" i="3"/>
  <c r="M8" i="3"/>
  <c r="M4" i="3"/>
  <c r="M13" i="3" s="1"/>
  <c r="L10" i="3"/>
  <c r="L5" i="3"/>
  <c r="L11" i="3"/>
  <c r="L4" i="3"/>
  <c r="J3" i="5"/>
  <c r="J4" i="5"/>
  <c r="J5" i="5"/>
  <c r="J6" i="5"/>
  <c r="J7" i="5"/>
  <c r="J8" i="5"/>
  <c r="J9" i="5"/>
  <c r="J10" i="5"/>
  <c r="J11" i="5"/>
  <c r="D3" i="5"/>
  <c r="E3" i="5"/>
  <c r="B4" i="5"/>
  <c r="D4" i="5"/>
  <c r="E4" i="5"/>
  <c r="D5" i="5"/>
  <c r="E5" i="5"/>
  <c r="B6" i="5"/>
  <c r="D6" i="5"/>
  <c r="E6" i="5"/>
  <c r="B7" i="5"/>
  <c r="D7" i="5"/>
  <c r="E7" i="5"/>
  <c r="B8" i="5"/>
  <c r="D8" i="5"/>
  <c r="E8" i="5"/>
  <c r="D9" i="5"/>
  <c r="E9" i="5"/>
  <c r="B10" i="5"/>
  <c r="D10" i="5"/>
  <c r="E10" i="5"/>
  <c r="D11" i="5"/>
  <c r="E11" i="5"/>
  <c r="H3" i="5"/>
  <c r="H4" i="5"/>
  <c r="H5" i="5"/>
  <c r="H6" i="5"/>
  <c r="H7" i="5"/>
  <c r="H8" i="5"/>
  <c r="H9" i="5"/>
  <c r="H10" i="5"/>
  <c r="H11" i="5"/>
  <c r="J15" i="4"/>
  <c r="H15" i="4"/>
  <c r="G15" i="4"/>
  <c r="D15" i="4"/>
  <c r="K14" i="4"/>
  <c r="I14" i="4"/>
  <c r="F14" i="4"/>
  <c r="E14" i="4"/>
  <c r="K13" i="4"/>
  <c r="I13" i="4"/>
  <c r="E13" i="4"/>
  <c r="C13" i="4"/>
  <c r="F13" i="4" s="1"/>
  <c r="I12" i="4"/>
  <c r="K12" i="4" s="1"/>
  <c r="E12" i="4"/>
  <c r="F12" i="4" s="1"/>
  <c r="I11" i="4"/>
  <c r="K11" i="4" s="1"/>
  <c r="E11" i="4"/>
  <c r="F11" i="4" s="1"/>
  <c r="C11" i="4"/>
  <c r="K10" i="4"/>
  <c r="I10" i="4"/>
  <c r="F10" i="4"/>
  <c r="E10" i="4"/>
  <c r="C10" i="4"/>
  <c r="I9" i="4"/>
  <c r="K9" i="4" s="1"/>
  <c r="E9" i="4"/>
  <c r="F9" i="4" s="1"/>
  <c r="C9" i="4"/>
  <c r="K8" i="4"/>
  <c r="I8" i="4"/>
  <c r="F8" i="4"/>
  <c r="E8" i="4"/>
  <c r="K7" i="4"/>
  <c r="I7" i="4"/>
  <c r="E7" i="4"/>
  <c r="C7" i="4"/>
  <c r="C15" i="4" s="1"/>
  <c r="I6" i="4"/>
  <c r="I15" i="4" s="1"/>
  <c r="E6" i="4"/>
  <c r="F6" i="4" s="1"/>
  <c r="F7" i="4" l="1"/>
  <c r="F15" i="4" s="1"/>
  <c r="K6" i="4"/>
  <c r="K15" i="4" s="1"/>
  <c r="E15" i="4"/>
  <c r="C6" i="3"/>
  <c r="L6" i="3" s="1"/>
  <c r="L13" i="3" s="1"/>
  <c r="C12" i="3"/>
  <c r="L12" i="3" s="1"/>
  <c r="C7" i="3"/>
  <c r="L7" i="3" s="1"/>
  <c r="C9" i="3"/>
  <c r="L9" i="3" s="1"/>
  <c r="C8" i="3"/>
  <c r="L8" i="3" s="1"/>
  <c r="G13" i="3"/>
  <c r="I9" i="3"/>
  <c r="E4" i="3"/>
  <c r="F4" i="3" s="1"/>
  <c r="E9" i="3"/>
  <c r="E10" i="3"/>
  <c r="F10" i="3" s="1"/>
  <c r="E7" i="3"/>
  <c r="F7" i="3" s="1"/>
  <c r="E12" i="3"/>
  <c r="E6" i="3"/>
  <c r="F6" i="3" s="1"/>
  <c r="E11" i="3"/>
  <c r="F11" i="3" s="1"/>
  <c r="E8" i="3"/>
  <c r="E5" i="3"/>
  <c r="F5" i="3" s="1"/>
  <c r="I4" i="3"/>
  <c r="N4" i="3" s="1"/>
  <c r="I8" i="3"/>
  <c r="N8" i="3" s="1"/>
  <c r="I11" i="3"/>
  <c r="I6" i="3"/>
  <c r="I12" i="3"/>
  <c r="N12" i="3" s="1"/>
  <c r="I7" i="3"/>
  <c r="N7" i="3" s="1"/>
  <c r="I10" i="3"/>
  <c r="I5" i="3"/>
  <c r="N5" i="3" s="1"/>
  <c r="J13" i="3"/>
  <c r="H13" i="3"/>
  <c r="D13" i="3"/>
  <c r="N10" i="3" l="1"/>
  <c r="N11" i="3"/>
  <c r="N13" i="3" s="1"/>
  <c r="N6" i="3"/>
  <c r="F12" i="3"/>
  <c r="N9" i="3"/>
  <c r="F8" i="3"/>
  <c r="K9" i="3"/>
  <c r="K5" i="3"/>
  <c r="K6" i="3"/>
  <c r="K10" i="3"/>
  <c r="K11" i="3"/>
  <c r="K8" i="3"/>
  <c r="K7" i="3"/>
  <c r="K12" i="3"/>
  <c r="K4" i="3"/>
  <c r="C13" i="3"/>
  <c r="F9" i="3"/>
  <c r="E13" i="3"/>
  <c r="I13" i="3"/>
  <c r="D4" i="2"/>
  <c r="D3" i="2"/>
  <c r="D5" i="2"/>
  <c r="D6" i="2"/>
  <c r="D7" i="2"/>
  <c r="D8" i="2"/>
  <c r="D9" i="2"/>
  <c r="D10" i="2"/>
  <c r="D11" i="2"/>
  <c r="D2" i="2"/>
  <c r="C11" i="2"/>
  <c r="B11" i="2"/>
  <c r="H10" i="1"/>
  <c r="F13" i="3" l="1"/>
  <c r="K13" i="3"/>
  <c r="L32" i="1"/>
  <c r="M32" i="1" s="1"/>
  <c r="L30" i="1"/>
  <c r="M30" i="1" s="1"/>
  <c r="L27" i="1"/>
  <c r="M27" i="1" s="1"/>
  <c r="M34" i="1" l="1"/>
  <c r="N34" i="1" s="1"/>
  <c r="G32" i="1"/>
  <c r="H32" i="1" s="1"/>
  <c r="G30" i="1"/>
  <c r="H30" i="1" s="1"/>
  <c r="G27" i="1"/>
  <c r="H27" i="1" s="1"/>
  <c r="H34" i="1" l="1"/>
  <c r="I34" i="1" s="1"/>
  <c r="B32" i="1"/>
  <c r="C32" i="1" s="1"/>
  <c r="B30" i="1"/>
  <c r="C30" i="1" s="1"/>
  <c r="B27" i="1"/>
  <c r="C27" i="1" s="1"/>
  <c r="C34" i="1" l="1"/>
  <c r="D34" i="1" s="1"/>
  <c r="L20" i="1"/>
  <c r="M20" i="1" s="1"/>
  <c r="L18" i="1"/>
  <c r="M18" i="1" s="1"/>
  <c r="L15" i="1"/>
  <c r="M15" i="1" s="1"/>
  <c r="M22" i="1" l="1"/>
  <c r="N22" i="1" s="1"/>
  <c r="G20" i="1"/>
  <c r="G18" i="1"/>
  <c r="G15" i="1"/>
  <c r="L8" i="1"/>
  <c r="L6" i="1"/>
  <c r="L3" i="1"/>
  <c r="M3" i="1" s="1"/>
  <c r="G3" i="1"/>
  <c r="H3" i="1" s="1"/>
  <c r="G6" i="1"/>
  <c r="G8" i="1"/>
  <c r="H8" i="1" s="1"/>
  <c r="B15" i="1"/>
  <c r="C15" i="1" s="1"/>
  <c r="B18" i="1"/>
  <c r="C18" i="1" s="1"/>
  <c r="B20" i="1"/>
  <c r="H20" i="1"/>
  <c r="H18" i="1"/>
  <c r="H15" i="1"/>
  <c r="C20" i="1"/>
  <c r="M8" i="1"/>
  <c r="M6" i="1"/>
  <c r="H6" i="1"/>
  <c r="B8" i="1"/>
  <c r="C8" i="1" s="1"/>
  <c r="B6" i="1"/>
  <c r="C6" i="1" s="1"/>
  <c r="B3" i="1"/>
  <c r="C3" i="1" s="1"/>
  <c r="C10" i="1" l="1"/>
  <c r="D10" i="1" s="1"/>
  <c r="H22" i="1"/>
  <c r="I22" i="1" s="1"/>
  <c r="C22" i="1"/>
  <c r="D22" i="1" s="1"/>
  <c r="M10" i="1"/>
  <c r="N10" i="1" s="1"/>
  <c r="I10" i="1"/>
  <c r="A36" i="1" l="1"/>
</calcChain>
</file>

<file path=xl/sharedStrings.xml><?xml version="1.0" encoding="utf-8"?>
<sst xmlns="http://schemas.openxmlformats.org/spreadsheetml/2006/main" count="94" uniqueCount="33">
  <si>
    <t>სენაკი</t>
  </si>
  <si>
    <t>წალენჯიხა</t>
  </si>
  <si>
    <t>ჩხოროწყუ</t>
  </si>
  <si>
    <t>აბაშა</t>
  </si>
  <si>
    <t>მესტია</t>
  </si>
  <si>
    <t>მარტვილი</t>
  </si>
  <si>
    <t>ქალაქი ფოთი</t>
  </si>
  <si>
    <t>ხობი</t>
  </si>
  <si>
    <t>ზუგდიდი</t>
  </si>
  <si>
    <t xml:space="preserve"> </t>
  </si>
  <si>
    <t>წინა მოწვევა</t>
  </si>
  <si>
    <t>მიმდინარე მოწვევა</t>
  </si>
  <si>
    <t>ფოთი</t>
  </si>
  <si>
    <t>წევრთა რაოდენობა</t>
  </si>
  <si>
    <t>ფრაქციების რაოდენობა</t>
  </si>
  <si>
    <t>ფრაქციების რაოდენობა2</t>
  </si>
  <si>
    <t>თანამდებობის  რაოდენობა</t>
  </si>
  <si>
    <t>თანამდებობის  რაოდენობა (ფ)</t>
  </si>
  <si>
    <t>თანამდებობის  რაოდენობა2</t>
  </si>
  <si>
    <t>წევრთა რაოდენობა2</t>
  </si>
  <si>
    <t>თანამდებობა/მთლიანი (%)</t>
  </si>
  <si>
    <t>თანამდებობა/მთლიანი (%)2</t>
  </si>
  <si>
    <t>მუნიციპალიტეტი</t>
  </si>
  <si>
    <t>avarage</t>
  </si>
  <si>
    <t>სხვაობა</t>
  </si>
  <si>
    <t>წევრთა რაოდენობა22</t>
  </si>
  <si>
    <t>ფრაქციების რაოდენობა23</t>
  </si>
  <si>
    <t>თანამდებობის  რაოდენობა24</t>
  </si>
  <si>
    <t>average</t>
  </si>
  <si>
    <t>თავმჯდომარე</t>
  </si>
  <si>
    <t>მოადგილე</t>
  </si>
  <si>
    <t>2014 - მოწვევა</t>
  </si>
  <si>
    <t>2017 - მოწვევა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</si>
</sst>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1"/>
      <name val="Calibri"/>
      <scheme val="minor"/>
    </font>
    <font>
      <sz val="10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2" fillId="3" borderId="1" xfId="0" applyFont="1" applyFill="1" applyBorder="1"/>
    <xf numFmtId="0" fontId="0" fillId="0" borderId="1" xfId="0" applyFill="1" applyBorder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textRotation="90"/>
    </xf>
    <xf numFmtId="0" fontId="7" fillId="0" borderId="0" xfId="0" applyFont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164" fontId="8" fillId="4" borderId="2" xfId="0" applyNumberFormat="1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4" fillId="5" borderId="2" xfId="0" applyFont="1" applyFill="1" applyBorder="1" applyAlignment="1">
      <alignment horizontal="center" vertical="center" textRotation="90"/>
    </xf>
    <xf numFmtId="0" fontId="4" fillId="6" borderId="2" xfId="0" applyFont="1" applyFill="1" applyBorder="1" applyAlignment="1">
      <alignment horizontal="center" vertical="center" textRotation="90"/>
    </xf>
    <xf numFmtId="0" fontId="4" fillId="6" borderId="2" xfId="0" applyFont="1" applyFill="1" applyBorder="1" applyAlignment="1">
      <alignment horizontal="center" textRotation="90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0" xfId="0" applyNumberFormat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</cellXfs>
  <cellStyles count="1">
    <cellStyle name="Normal" xfId="0" builtinId="0"/>
  </cellStyles>
  <dxfs count="27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C0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9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C0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90" wrapText="0" indent="0" justifyLastLine="0" shrinkToFit="0" readingOrder="0"/>
    </dxf>
  </dxfs>
  <tableStyles count="3" defaultTableStyle="TableStyleMedium2" defaultPivotStyle="PivotStyleLight16">
    <tableStyle name="PivotTable Style 1" table="0" count="0"/>
    <tableStyle name="PivotTable Style 2" table="0" count="0"/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6.4814814814814811E-2"/>
          <c:w val="0.93888888888888888"/>
          <c:h val="0.72106372120151652"/>
        </c:manualLayout>
      </c:layout>
      <c:barChart>
        <c:barDir val="col"/>
        <c:grouping val="clustered"/>
        <c:varyColors val="0"/>
        <c:ser>
          <c:idx val="0"/>
          <c:order val="0"/>
          <c:tx>
            <c:v>სენაკი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Sheet2!$D$2</c:f>
              <c:numCache>
                <c:formatCode>General</c:formatCode>
                <c:ptCount val="1"/>
                <c:pt idx="0">
                  <c:v>-9600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42-4457-A325-8FEBB03440EC}"/>
            </c:ext>
          </c:extLst>
        </c:ser>
        <c:ser>
          <c:idx val="1"/>
          <c:order val="1"/>
          <c:tx>
            <c:v>აბაშა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Sheet2!$D$3</c:f>
              <c:numCache>
                <c:formatCode>General</c:formatCode>
                <c:ptCount val="1"/>
                <c:pt idx="0">
                  <c:v>61200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42-4457-A325-8FEBB03440EC}"/>
            </c:ext>
          </c:extLst>
        </c:ser>
        <c:ser>
          <c:idx val="2"/>
          <c:order val="2"/>
          <c:tx>
            <c:v>ფოთი</c:v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Sheet2!$D$4</c:f>
              <c:numCache>
                <c:formatCode>General</c:formatCode>
                <c:ptCount val="1"/>
                <c:pt idx="0">
                  <c:v>169200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42-4457-A325-8FEBB03440EC}"/>
            </c:ext>
          </c:extLst>
        </c:ser>
        <c:ser>
          <c:idx val="3"/>
          <c:order val="3"/>
          <c:tx>
            <c:v>წალენჯიხა</c:v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Sheet2!$D$5</c:f>
              <c:numCache>
                <c:formatCode>General</c:formatCode>
                <c:ptCount val="1"/>
                <c:pt idx="0">
                  <c:v>33600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42-4457-A325-8FEBB03440EC}"/>
            </c:ext>
          </c:extLst>
        </c:ser>
        <c:ser>
          <c:idx val="4"/>
          <c:order val="4"/>
          <c:tx>
            <c:v>მესტია</c:v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Sheet2!$D$6</c:f>
              <c:numCache>
                <c:formatCode>General</c:formatCode>
                <c:ptCount val="1"/>
                <c:pt idx="0">
                  <c:v>72000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42-4457-A325-8FEBB03440EC}"/>
            </c:ext>
          </c:extLst>
        </c:ser>
        <c:ser>
          <c:idx val="5"/>
          <c:order val="5"/>
          <c:tx>
            <c:v>ხობი</c:v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Sheet2!$D$7</c:f>
              <c:numCache>
                <c:formatCode>General</c:formatCode>
                <c:ptCount val="1"/>
                <c:pt idx="0">
                  <c:v>53400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42-4457-A325-8FEBB03440EC}"/>
            </c:ext>
          </c:extLst>
        </c:ser>
        <c:ser>
          <c:idx val="6"/>
          <c:order val="6"/>
          <c:tx>
            <c:v>ჩხოროწყუ</c:v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Sheet2!$D$8</c:f>
              <c:numCache>
                <c:formatCode>General</c:formatCode>
                <c:ptCount val="1"/>
                <c:pt idx="0">
                  <c:v>30600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C42-4457-A325-8FEBB03440EC}"/>
            </c:ext>
          </c:extLst>
        </c:ser>
        <c:ser>
          <c:idx val="7"/>
          <c:order val="7"/>
          <c:tx>
            <c:v>მარტვილი</c:v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Sheet2!$D$9</c:f>
              <c:numCache>
                <c:formatCode>General</c:formatCode>
                <c:ptCount val="1"/>
                <c:pt idx="0">
                  <c:v>86160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C42-4457-A325-8FEBB03440EC}"/>
            </c:ext>
          </c:extLst>
        </c:ser>
        <c:ser>
          <c:idx val="8"/>
          <c:order val="8"/>
          <c:tx>
            <c:v>ზუგდიდი</c:v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Sheet2!$D$10</c:f>
              <c:numCache>
                <c:formatCode>General</c:formatCode>
                <c:ptCount val="1"/>
                <c:pt idx="0">
                  <c:v>-15000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C42-4457-A325-8FEBB0344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31545648"/>
        <c:axId val="431545976"/>
      </c:barChart>
      <c:catAx>
        <c:axId val="431545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545976"/>
        <c:crosses val="autoZero"/>
        <c:auto val="1"/>
        <c:lblAlgn val="ctr"/>
        <c:lblOffset val="100"/>
        <c:noMultiLvlLbl val="0"/>
      </c:catAx>
      <c:valAx>
        <c:axId val="431545976"/>
        <c:scaling>
          <c:orientation val="minMax"/>
          <c:max val="170000"/>
          <c:min val="-16000"/>
        </c:scaling>
        <c:delete val="1"/>
        <c:axPos val="l"/>
        <c:numFmt formatCode="General" sourceLinked="1"/>
        <c:majorTickMark val="none"/>
        <c:minorTickMark val="none"/>
        <c:tickLblPos val="nextTo"/>
        <c:crossAx val="431545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Sheet4!$B$6:$B$14</c:f>
              <c:strCache>
                <c:ptCount val="9"/>
                <c:pt idx="0">
                  <c:v>სენაკი</c:v>
                </c:pt>
                <c:pt idx="1">
                  <c:v>აბაშა</c:v>
                </c:pt>
                <c:pt idx="2">
                  <c:v>ფოთი</c:v>
                </c:pt>
                <c:pt idx="3">
                  <c:v>წალენჯიხა</c:v>
                </c:pt>
                <c:pt idx="4">
                  <c:v>მესტია</c:v>
                </c:pt>
                <c:pt idx="5">
                  <c:v>ხობი</c:v>
                </c:pt>
                <c:pt idx="6">
                  <c:v>ჩხოროწყუ</c:v>
                </c:pt>
                <c:pt idx="7">
                  <c:v>მარტვილი</c:v>
                </c:pt>
                <c:pt idx="8">
                  <c:v>ზუგდიდი</c:v>
                </c:pt>
              </c:strCache>
            </c:strRef>
          </c:cat>
          <c:val>
            <c:numRef>
              <c:f>Sheet4!$C$6:$C$14</c:f>
            </c:numRef>
          </c:val>
          <c:extLst>
            <c:ext xmlns:c16="http://schemas.microsoft.com/office/drawing/2014/chart" uri="{C3380CC4-5D6E-409C-BE32-E72D297353CC}">
              <c16:uniqueId val="{00000000-7E2F-4685-8FAF-992EC1CE14CF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Sheet4!$B$6:$B$14</c:f>
              <c:strCache>
                <c:ptCount val="9"/>
                <c:pt idx="0">
                  <c:v>სენაკი</c:v>
                </c:pt>
                <c:pt idx="1">
                  <c:v>აბაშა</c:v>
                </c:pt>
                <c:pt idx="2">
                  <c:v>ფოთი</c:v>
                </c:pt>
                <c:pt idx="3">
                  <c:v>წალენჯიხა</c:v>
                </c:pt>
                <c:pt idx="4">
                  <c:v>მესტია</c:v>
                </c:pt>
                <c:pt idx="5">
                  <c:v>ხობი</c:v>
                </c:pt>
                <c:pt idx="6">
                  <c:v>ჩხოროწყუ</c:v>
                </c:pt>
                <c:pt idx="7">
                  <c:v>მარტვილი</c:v>
                </c:pt>
                <c:pt idx="8">
                  <c:v>ზუგდიდი</c:v>
                </c:pt>
              </c:strCache>
            </c:strRef>
          </c:cat>
          <c:val>
            <c:numRef>
              <c:f>Sheet4!$D$6:$D$14</c:f>
            </c:numRef>
          </c:val>
          <c:extLst>
            <c:ext xmlns:c16="http://schemas.microsoft.com/office/drawing/2014/chart" uri="{C3380CC4-5D6E-409C-BE32-E72D297353CC}">
              <c16:uniqueId val="{00000001-7E2F-4685-8FAF-992EC1CE14CF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Sheet4!$B$6:$B$14</c:f>
              <c:strCache>
                <c:ptCount val="9"/>
                <c:pt idx="0">
                  <c:v>სენაკი</c:v>
                </c:pt>
                <c:pt idx="1">
                  <c:v>აბაშა</c:v>
                </c:pt>
                <c:pt idx="2">
                  <c:v>ფოთი</c:v>
                </c:pt>
                <c:pt idx="3">
                  <c:v>წალენჯიხა</c:v>
                </c:pt>
                <c:pt idx="4">
                  <c:v>მესტია</c:v>
                </c:pt>
                <c:pt idx="5">
                  <c:v>ხობი</c:v>
                </c:pt>
                <c:pt idx="6">
                  <c:v>ჩხოროწყუ</c:v>
                </c:pt>
                <c:pt idx="7">
                  <c:v>მარტვილი</c:v>
                </c:pt>
                <c:pt idx="8">
                  <c:v>ზუგდიდი</c:v>
                </c:pt>
              </c:strCache>
            </c:strRef>
          </c:cat>
          <c:val>
            <c:numRef>
              <c:f>Sheet4!$E$6:$E$14</c:f>
            </c:numRef>
          </c:val>
          <c:extLst>
            <c:ext xmlns:c16="http://schemas.microsoft.com/office/drawing/2014/chart" uri="{C3380CC4-5D6E-409C-BE32-E72D297353CC}">
              <c16:uniqueId val="{00000002-7E2F-4685-8FAF-992EC1CE14CF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Sheet4!$B$6:$B$14</c:f>
              <c:strCache>
                <c:ptCount val="9"/>
                <c:pt idx="0">
                  <c:v>სენაკი</c:v>
                </c:pt>
                <c:pt idx="1">
                  <c:v>აბაშა</c:v>
                </c:pt>
                <c:pt idx="2">
                  <c:v>ფოთი</c:v>
                </c:pt>
                <c:pt idx="3">
                  <c:v>წალენჯიხა</c:v>
                </c:pt>
                <c:pt idx="4">
                  <c:v>მესტია</c:v>
                </c:pt>
                <c:pt idx="5">
                  <c:v>ხობი</c:v>
                </c:pt>
                <c:pt idx="6">
                  <c:v>ჩხოროწყუ</c:v>
                </c:pt>
                <c:pt idx="7">
                  <c:v>მარტვილი</c:v>
                </c:pt>
                <c:pt idx="8">
                  <c:v>ზუგდიდი</c:v>
                </c:pt>
              </c:strCache>
            </c:strRef>
          </c:cat>
          <c:val>
            <c:numRef>
              <c:f>Sheet4!$F$6:$F$14</c:f>
            </c:numRef>
          </c:val>
          <c:extLst>
            <c:ext xmlns:c16="http://schemas.microsoft.com/office/drawing/2014/chart" uri="{C3380CC4-5D6E-409C-BE32-E72D297353CC}">
              <c16:uniqueId val="{00000003-7E2F-4685-8FAF-992EC1CE14CF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Sheet4!$B$6:$B$14</c:f>
              <c:strCache>
                <c:ptCount val="9"/>
                <c:pt idx="0">
                  <c:v>სენაკი</c:v>
                </c:pt>
                <c:pt idx="1">
                  <c:v>აბაშა</c:v>
                </c:pt>
                <c:pt idx="2">
                  <c:v>ფოთი</c:v>
                </c:pt>
                <c:pt idx="3">
                  <c:v>წალენჯიხა</c:v>
                </c:pt>
                <c:pt idx="4">
                  <c:v>მესტია</c:v>
                </c:pt>
                <c:pt idx="5">
                  <c:v>ხობი</c:v>
                </c:pt>
                <c:pt idx="6">
                  <c:v>ჩხოროწყუ</c:v>
                </c:pt>
                <c:pt idx="7">
                  <c:v>მარტვილი</c:v>
                </c:pt>
                <c:pt idx="8">
                  <c:v>ზუგდიდი</c:v>
                </c:pt>
              </c:strCache>
            </c:strRef>
          </c:cat>
          <c:val>
            <c:numRef>
              <c:f>Sheet4!$G$6:$G$14</c:f>
              <c:numCache>
                <c:formatCode>General</c:formatCode>
                <c:ptCount val="9"/>
                <c:pt idx="0">
                  <c:v>33</c:v>
                </c:pt>
                <c:pt idx="1">
                  <c:v>32</c:v>
                </c:pt>
                <c:pt idx="2">
                  <c:v>25</c:v>
                </c:pt>
                <c:pt idx="3">
                  <c:v>30</c:v>
                </c:pt>
                <c:pt idx="4">
                  <c:v>31</c:v>
                </c:pt>
                <c:pt idx="5">
                  <c:v>37</c:v>
                </c:pt>
                <c:pt idx="6">
                  <c:v>28</c:v>
                </c:pt>
                <c:pt idx="7">
                  <c:v>37</c:v>
                </c:pt>
                <c:pt idx="8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2F-4685-8FAF-992EC1CE14CF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Sheet4!$B$6:$B$14</c:f>
              <c:strCache>
                <c:ptCount val="9"/>
                <c:pt idx="0">
                  <c:v>სენაკი</c:v>
                </c:pt>
                <c:pt idx="1">
                  <c:v>აბაშა</c:v>
                </c:pt>
                <c:pt idx="2">
                  <c:v>ფოთი</c:v>
                </c:pt>
                <c:pt idx="3">
                  <c:v>წალენჯიხა</c:v>
                </c:pt>
                <c:pt idx="4">
                  <c:v>მესტია</c:v>
                </c:pt>
                <c:pt idx="5">
                  <c:v>ხობი</c:v>
                </c:pt>
                <c:pt idx="6">
                  <c:v>ჩხოროწყუ</c:v>
                </c:pt>
                <c:pt idx="7">
                  <c:v>მარტვილი</c:v>
                </c:pt>
                <c:pt idx="8">
                  <c:v>ზუგდიდი</c:v>
                </c:pt>
              </c:strCache>
            </c:strRef>
          </c:cat>
          <c:val>
            <c:numRef>
              <c:f>Sheet4!$H$6:$H$14</c:f>
            </c:numRef>
          </c:val>
          <c:extLst>
            <c:ext xmlns:c16="http://schemas.microsoft.com/office/drawing/2014/chart" uri="{C3380CC4-5D6E-409C-BE32-E72D297353CC}">
              <c16:uniqueId val="{00000005-7E2F-4685-8FAF-992EC1CE14CF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Sheet4!$B$6:$B$14</c:f>
              <c:strCache>
                <c:ptCount val="9"/>
                <c:pt idx="0">
                  <c:v>სენაკი</c:v>
                </c:pt>
                <c:pt idx="1">
                  <c:v>აბაშა</c:v>
                </c:pt>
                <c:pt idx="2">
                  <c:v>ფოთი</c:v>
                </c:pt>
                <c:pt idx="3">
                  <c:v>წალენჯიხა</c:v>
                </c:pt>
                <c:pt idx="4">
                  <c:v>მესტია</c:v>
                </c:pt>
                <c:pt idx="5">
                  <c:v>ხობი</c:v>
                </c:pt>
                <c:pt idx="6">
                  <c:v>ჩხოროწყუ</c:v>
                </c:pt>
                <c:pt idx="7">
                  <c:v>მარტვილი</c:v>
                </c:pt>
                <c:pt idx="8">
                  <c:v>ზუგდიდი</c:v>
                </c:pt>
              </c:strCache>
            </c:strRef>
          </c:cat>
          <c:val>
            <c:numRef>
              <c:f>Sheet4!$I$6:$I$14</c:f>
              <c:numCache>
                <c:formatCode>General</c:formatCode>
                <c:ptCount val="9"/>
                <c:pt idx="0">
                  <c:v>16</c:v>
                </c:pt>
                <c:pt idx="1">
                  <c:v>20</c:v>
                </c:pt>
                <c:pt idx="2">
                  <c:v>16</c:v>
                </c:pt>
                <c:pt idx="3">
                  <c:v>16</c:v>
                </c:pt>
                <c:pt idx="4">
                  <c:v>21</c:v>
                </c:pt>
                <c:pt idx="5">
                  <c:v>18</c:v>
                </c:pt>
                <c:pt idx="6">
                  <c:v>18</c:v>
                </c:pt>
                <c:pt idx="7">
                  <c:v>23</c:v>
                </c:pt>
                <c:pt idx="8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E2F-4685-8FAF-992EC1CE14CF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Sheet4!$B$6:$B$14</c:f>
              <c:strCache>
                <c:ptCount val="9"/>
                <c:pt idx="0">
                  <c:v>სენაკი</c:v>
                </c:pt>
                <c:pt idx="1">
                  <c:v>აბაშა</c:v>
                </c:pt>
                <c:pt idx="2">
                  <c:v>ფოთი</c:v>
                </c:pt>
                <c:pt idx="3">
                  <c:v>წალენჯიხა</c:v>
                </c:pt>
                <c:pt idx="4">
                  <c:v>მესტია</c:v>
                </c:pt>
                <c:pt idx="5">
                  <c:v>ხობი</c:v>
                </c:pt>
                <c:pt idx="6">
                  <c:v>ჩხოროწყუ</c:v>
                </c:pt>
                <c:pt idx="7">
                  <c:v>მარტვილი</c:v>
                </c:pt>
                <c:pt idx="8">
                  <c:v>ზუგდიდი</c:v>
                </c:pt>
              </c:strCache>
            </c:strRef>
          </c:cat>
          <c:val>
            <c:numRef>
              <c:f>Sheet4!$J$6:$J$14</c:f>
            </c:numRef>
          </c:val>
          <c:extLst>
            <c:ext xmlns:c16="http://schemas.microsoft.com/office/drawing/2014/chart" uri="{C3380CC4-5D6E-409C-BE32-E72D297353CC}">
              <c16:uniqueId val="{00000007-7E2F-4685-8FAF-992EC1CE1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39326144"/>
        <c:axId val="439325160"/>
      </c:barChart>
      <c:lineChart>
        <c:grouping val="standard"/>
        <c:varyColors val="0"/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Sheet4!$B$6:$B$14</c:f>
              <c:strCache>
                <c:ptCount val="9"/>
                <c:pt idx="0">
                  <c:v>სენაკი</c:v>
                </c:pt>
                <c:pt idx="1">
                  <c:v>აბაშა</c:v>
                </c:pt>
                <c:pt idx="2">
                  <c:v>ფოთი</c:v>
                </c:pt>
                <c:pt idx="3">
                  <c:v>წალენჯიხა</c:v>
                </c:pt>
                <c:pt idx="4">
                  <c:v>მესტია</c:v>
                </c:pt>
                <c:pt idx="5">
                  <c:v>ხობი</c:v>
                </c:pt>
                <c:pt idx="6">
                  <c:v>ჩხოროწყუ</c:v>
                </c:pt>
                <c:pt idx="7">
                  <c:v>მარტვილი</c:v>
                </c:pt>
                <c:pt idx="8">
                  <c:v>ზუგდიდი</c:v>
                </c:pt>
              </c:strCache>
            </c:strRef>
          </c:cat>
          <c:val>
            <c:numRef>
              <c:f>Sheet4!$K$6:$K$14</c:f>
              <c:numCache>
                <c:formatCode>0.0</c:formatCode>
                <c:ptCount val="9"/>
                <c:pt idx="0">
                  <c:v>48.484848484848484</c:v>
                </c:pt>
                <c:pt idx="1">
                  <c:v>62.5</c:v>
                </c:pt>
                <c:pt idx="2">
                  <c:v>64</c:v>
                </c:pt>
                <c:pt idx="3">
                  <c:v>53.333333333333336</c:v>
                </c:pt>
                <c:pt idx="4">
                  <c:v>67.741935483870961</c:v>
                </c:pt>
                <c:pt idx="5">
                  <c:v>48.648648648648653</c:v>
                </c:pt>
                <c:pt idx="6">
                  <c:v>64.285714285714292</c:v>
                </c:pt>
                <c:pt idx="7">
                  <c:v>62.162162162162161</c:v>
                </c:pt>
                <c:pt idx="8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2F-4685-8FAF-992EC1CE1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051000"/>
        <c:axId val="486051656"/>
      </c:lineChart>
      <c:catAx>
        <c:axId val="43932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325160"/>
        <c:crosses val="autoZero"/>
        <c:auto val="1"/>
        <c:lblAlgn val="ctr"/>
        <c:lblOffset val="100"/>
        <c:noMultiLvlLbl val="0"/>
      </c:catAx>
      <c:valAx>
        <c:axId val="439325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326144"/>
        <c:crosses val="autoZero"/>
        <c:crossBetween val="between"/>
      </c:valAx>
      <c:valAx>
        <c:axId val="486051656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6051000"/>
        <c:crosses val="max"/>
        <c:crossBetween val="between"/>
      </c:valAx>
      <c:catAx>
        <c:axId val="486051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6051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483309143686502E-2"/>
          <c:y val="4.8134777376654635E-2"/>
          <c:w val="0.95742622157716495"/>
          <c:h val="0.7211150591735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Sheet5!$A$3:$A$11</c:f>
              <c:strCache>
                <c:ptCount val="9"/>
                <c:pt idx="0">
                  <c:v>სენაკი</c:v>
                </c:pt>
                <c:pt idx="1">
                  <c:v>აბაშა</c:v>
                </c:pt>
                <c:pt idx="2">
                  <c:v>ფოთი</c:v>
                </c:pt>
                <c:pt idx="3">
                  <c:v>წალენჯიხა</c:v>
                </c:pt>
                <c:pt idx="4">
                  <c:v>მესტია</c:v>
                </c:pt>
                <c:pt idx="5">
                  <c:v>ხობი</c:v>
                </c:pt>
                <c:pt idx="6">
                  <c:v>ჩხოროწყუ</c:v>
                </c:pt>
                <c:pt idx="7">
                  <c:v>მარტვილი</c:v>
                </c:pt>
                <c:pt idx="8">
                  <c:v>ზუგდიდი</c:v>
                </c:pt>
              </c:strCache>
            </c:strRef>
          </c:cat>
          <c:val>
            <c:numRef>
              <c:f>Sheet5!$B$3:$B$11</c:f>
            </c:numRef>
          </c:val>
          <c:extLst>
            <c:ext xmlns:c16="http://schemas.microsoft.com/office/drawing/2014/chart" uri="{C3380CC4-5D6E-409C-BE32-E72D297353CC}">
              <c16:uniqueId val="{00000000-772A-4E2F-8F62-FB163532BC6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Sheet5!$A$3:$A$11</c:f>
              <c:strCache>
                <c:ptCount val="9"/>
                <c:pt idx="0">
                  <c:v>სენაკი</c:v>
                </c:pt>
                <c:pt idx="1">
                  <c:v>აბაშა</c:v>
                </c:pt>
                <c:pt idx="2">
                  <c:v>ფოთი</c:v>
                </c:pt>
                <c:pt idx="3">
                  <c:v>წალენჯიხა</c:v>
                </c:pt>
                <c:pt idx="4">
                  <c:v>მესტია</c:v>
                </c:pt>
                <c:pt idx="5">
                  <c:v>ხობი</c:v>
                </c:pt>
                <c:pt idx="6">
                  <c:v>ჩხოროწყუ</c:v>
                </c:pt>
                <c:pt idx="7">
                  <c:v>მარტვილი</c:v>
                </c:pt>
                <c:pt idx="8">
                  <c:v>ზუგდიდი</c:v>
                </c:pt>
              </c:strCache>
            </c:strRef>
          </c:cat>
          <c:val>
            <c:numRef>
              <c:f>Sheet5!$C$3:$C$11</c:f>
            </c:numRef>
          </c:val>
          <c:extLst>
            <c:ext xmlns:c16="http://schemas.microsoft.com/office/drawing/2014/chart" uri="{C3380CC4-5D6E-409C-BE32-E72D297353CC}">
              <c16:uniqueId val="{00000001-772A-4E2F-8F62-FB163532BC6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Sheet5!$A$3:$A$11</c:f>
              <c:strCache>
                <c:ptCount val="9"/>
                <c:pt idx="0">
                  <c:v>სენაკი</c:v>
                </c:pt>
                <c:pt idx="1">
                  <c:v>აბაშა</c:v>
                </c:pt>
                <c:pt idx="2">
                  <c:v>ფოთი</c:v>
                </c:pt>
                <c:pt idx="3">
                  <c:v>წალენჯიხა</c:v>
                </c:pt>
                <c:pt idx="4">
                  <c:v>მესტია</c:v>
                </c:pt>
                <c:pt idx="5">
                  <c:v>ხობი</c:v>
                </c:pt>
                <c:pt idx="6">
                  <c:v>ჩხოროწყუ</c:v>
                </c:pt>
                <c:pt idx="7">
                  <c:v>მარტვილი</c:v>
                </c:pt>
                <c:pt idx="8">
                  <c:v>ზუგდიდი</c:v>
                </c:pt>
              </c:strCache>
            </c:strRef>
          </c:cat>
          <c:val>
            <c:numRef>
              <c:f>Sheet5!$D$3:$D$11</c:f>
            </c:numRef>
          </c:val>
          <c:extLst>
            <c:ext xmlns:c16="http://schemas.microsoft.com/office/drawing/2014/chart" uri="{C3380CC4-5D6E-409C-BE32-E72D297353CC}">
              <c16:uniqueId val="{00000002-772A-4E2F-8F62-FB163532BC6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Sheet5!$A$3:$A$11</c:f>
              <c:strCache>
                <c:ptCount val="9"/>
                <c:pt idx="0">
                  <c:v>სენაკი</c:v>
                </c:pt>
                <c:pt idx="1">
                  <c:v>აბაშა</c:v>
                </c:pt>
                <c:pt idx="2">
                  <c:v>ფოთი</c:v>
                </c:pt>
                <c:pt idx="3">
                  <c:v>წალენჯიხა</c:v>
                </c:pt>
                <c:pt idx="4">
                  <c:v>მესტია</c:v>
                </c:pt>
                <c:pt idx="5">
                  <c:v>ხობი</c:v>
                </c:pt>
                <c:pt idx="6">
                  <c:v>ჩხოროწყუ</c:v>
                </c:pt>
                <c:pt idx="7">
                  <c:v>მარტვილი</c:v>
                </c:pt>
                <c:pt idx="8">
                  <c:v>ზუგდიდი</c:v>
                </c:pt>
              </c:strCache>
            </c:strRef>
          </c:cat>
          <c:val>
            <c:numRef>
              <c:f>Sheet5!$E$3:$E$11</c:f>
            </c:numRef>
          </c:val>
          <c:extLst>
            <c:ext xmlns:c16="http://schemas.microsoft.com/office/drawing/2014/chart" uri="{C3380CC4-5D6E-409C-BE32-E72D297353CC}">
              <c16:uniqueId val="{00000003-772A-4E2F-8F62-FB163532BC68}"/>
            </c:ext>
          </c:extLst>
        </c:ser>
        <c:ser>
          <c:idx val="4"/>
          <c:order val="4"/>
          <c:tx>
            <c:v>საკრებულოს წევრი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0"/>
                  <c:y val="0.1418675606725629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72A-4E2F-8F62-FB163532BC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Sheet5!$A$3:$A$11</c:f>
              <c:strCache>
                <c:ptCount val="9"/>
                <c:pt idx="0">
                  <c:v>სენაკი</c:v>
                </c:pt>
                <c:pt idx="1">
                  <c:v>აბაშა</c:v>
                </c:pt>
                <c:pt idx="2">
                  <c:v>ფოთი</c:v>
                </c:pt>
                <c:pt idx="3">
                  <c:v>წალენჯიხა</c:v>
                </c:pt>
                <c:pt idx="4">
                  <c:v>მესტია</c:v>
                </c:pt>
                <c:pt idx="5">
                  <c:v>ხობი</c:v>
                </c:pt>
                <c:pt idx="6">
                  <c:v>ჩხოროწყუ</c:v>
                </c:pt>
                <c:pt idx="7">
                  <c:v>მარტვილი</c:v>
                </c:pt>
                <c:pt idx="8">
                  <c:v>ზუგდიდი</c:v>
                </c:pt>
              </c:strCache>
            </c:strRef>
          </c:cat>
          <c:val>
            <c:numRef>
              <c:f>Sheet5!$F$3:$F$11</c:f>
              <c:numCache>
                <c:formatCode>General</c:formatCode>
                <c:ptCount val="9"/>
                <c:pt idx="0">
                  <c:v>33</c:v>
                </c:pt>
                <c:pt idx="1">
                  <c:v>32</c:v>
                </c:pt>
                <c:pt idx="2">
                  <c:v>25</c:v>
                </c:pt>
                <c:pt idx="3">
                  <c:v>30</c:v>
                </c:pt>
                <c:pt idx="4">
                  <c:v>31</c:v>
                </c:pt>
                <c:pt idx="5">
                  <c:v>37</c:v>
                </c:pt>
                <c:pt idx="6">
                  <c:v>28</c:v>
                </c:pt>
                <c:pt idx="7">
                  <c:v>37</c:v>
                </c:pt>
                <c:pt idx="8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2A-4E2F-8F62-FB163532BC68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Sheet5!$A$3:$A$11</c:f>
              <c:strCache>
                <c:ptCount val="9"/>
                <c:pt idx="0">
                  <c:v>სენაკი</c:v>
                </c:pt>
                <c:pt idx="1">
                  <c:v>აბაშა</c:v>
                </c:pt>
                <c:pt idx="2">
                  <c:v>ფოთი</c:v>
                </c:pt>
                <c:pt idx="3">
                  <c:v>წალენჯიხა</c:v>
                </c:pt>
                <c:pt idx="4">
                  <c:v>მესტია</c:v>
                </c:pt>
                <c:pt idx="5">
                  <c:v>ხობი</c:v>
                </c:pt>
                <c:pt idx="6">
                  <c:v>ჩხოროწყუ</c:v>
                </c:pt>
                <c:pt idx="7">
                  <c:v>მარტვილი</c:v>
                </c:pt>
                <c:pt idx="8">
                  <c:v>ზუგდიდი</c:v>
                </c:pt>
              </c:strCache>
            </c:strRef>
          </c:cat>
          <c:val>
            <c:numRef>
              <c:f>Sheet5!$G$3:$G$11</c:f>
            </c:numRef>
          </c:val>
          <c:extLst>
            <c:ext xmlns:c16="http://schemas.microsoft.com/office/drawing/2014/chart" uri="{C3380CC4-5D6E-409C-BE32-E72D297353CC}">
              <c16:uniqueId val="{00000005-772A-4E2F-8F62-FB163532BC68}"/>
            </c:ext>
          </c:extLst>
        </c:ser>
        <c:ser>
          <c:idx val="6"/>
          <c:order val="6"/>
          <c:tx>
            <c:v>თანამდებობის პირი</c:v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Sheet5!$A$3:$A$11</c:f>
              <c:strCache>
                <c:ptCount val="9"/>
                <c:pt idx="0">
                  <c:v>სენაკი</c:v>
                </c:pt>
                <c:pt idx="1">
                  <c:v>აბაშა</c:v>
                </c:pt>
                <c:pt idx="2">
                  <c:v>ფოთი</c:v>
                </c:pt>
                <c:pt idx="3">
                  <c:v>წალენჯიხა</c:v>
                </c:pt>
                <c:pt idx="4">
                  <c:v>მესტია</c:v>
                </c:pt>
                <c:pt idx="5">
                  <c:v>ხობი</c:v>
                </c:pt>
                <c:pt idx="6">
                  <c:v>ჩხოროწყუ</c:v>
                </c:pt>
                <c:pt idx="7">
                  <c:v>მარტვილი</c:v>
                </c:pt>
                <c:pt idx="8">
                  <c:v>ზუგდიდი</c:v>
                </c:pt>
              </c:strCache>
            </c:strRef>
          </c:cat>
          <c:val>
            <c:numRef>
              <c:f>Sheet5!$H$3:$H$11</c:f>
              <c:numCache>
                <c:formatCode>General</c:formatCode>
                <c:ptCount val="9"/>
                <c:pt idx="0">
                  <c:v>16</c:v>
                </c:pt>
                <c:pt idx="1">
                  <c:v>20</c:v>
                </c:pt>
                <c:pt idx="2">
                  <c:v>16</c:v>
                </c:pt>
                <c:pt idx="3">
                  <c:v>16</c:v>
                </c:pt>
                <c:pt idx="4">
                  <c:v>21</c:v>
                </c:pt>
                <c:pt idx="5">
                  <c:v>18</c:v>
                </c:pt>
                <c:pt idx="6">
                  <c:v>18</c:v>
                </c:pt>
                <c:pt idx="7">
                  <c:v>23</c:v>
                </c:pt>
                <c:pt idx="8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2A-4E2F-8F62-FB163532BC68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Sheet5!$A$3:$A$11</c:f>
              <c:strCache>
                <c:ptCount val="9"/>
                <c:pt idx="0">
                  <c:v>სენაკი</c:v>
                </c:pt>
                <c:pt idx="1">
                  <c:v>აბაშა</c:v>
                </c:pt>
                <c:pt idx="2">
                  <c:v>ფოთი</c:v>
                </c:pt>
                <c:pt idx="3">
                  <c:v>წალენჯიხა</c:v>
                </c:pt>
                <c:pt idx="4">
                  <c:v>მესტია</c:v>
                </c:pt>
                <c:pt idx="5">
                  <c:v>ხობი</c:v>
                </c:pt>
                <c:pt idx="6">
                  <c:v>ჩხოროწყუ</c:v>
                </c:pt>
                <c:pt idx="7">
                  <c:v>მარტვილი</c:v>
                </c:pt>
                <c:pt idx="8">
                  <c:v>ზუგდიდი</c:v>
                </c:pt>
              </c:strCache>
            </c:strRef>
          </c:cat>
          <c:val>
            <c:numRef>
              <c:f>Sheet5!$I$3:$I$11</c:f>
            </c:numRef>
          </c:val>
          <c:extLst>
            <c:ext xmlns:c16="http://schemas.microsoft.com/office/drawing/2014/chart" uri="{C3380CC4-5D6E-409C-BE32-E72D297353CC}">
              <c16:uniqueId val="{00000007-772A-4E2F-8F62-FB163532B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78368992"/>
        <c:axId val="478368336"/>
      </c:barChart>
      <c:lineChart>
        <c:grouping val="standard"/>
        <c:varyColors val="0"/>
        <c:ser>
          <c:idx val="8"/>
          <c:order val="8"/>
          <c:tx>
            <c:v>თანამდებობის პირი/წევრთა რაოდენობა</c:v>
          </c:tx>
          <c:spPr>
            <a:ln w="12700" cap="rnd">
              <a:solidFill>
                <a:srgbClr val="FF0000"/>
              </a:solidFill>
              <a:prstDash val="dashDot"/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12700">
                <a:gradFill flip="none" rotWithShape="1">
                  <a:gsLst>
                    <a:gs pos="0">
                      <a:srgbClr val="FFC000"/>
                    </a:gs>
                    <a:gs pos="74000">
                      <a:schemeClr val="accent2">
                        <a:lumMod val="45000"/>
                        <a:lumOff val="55000"/>
                      </a:schemeClr>
                    </a:gs>
                    <a:gs pos="83000">
                      <a:schemeClr val="accent2">
                        <a:lumMod val="45000"/>
                        <a:lumOff val="55000"/>
                      </a:schemeClr>
                    </a:gs>
                    <a:gs pos="100000">
                      <a:schemeClr val="accent2">
                        <a:lumMod val="30000"/>
                        <a:lumOff val="70000"/>
                      </a:schemeClr>
                    </a:gs>
                  </a:gsLst>
                  <a:lin ang="2700000" scaled="1"/>
                  <a:tileRect/>
                </a:gra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48,5%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72A-4E2F-8F62-FB163532BC6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62,5%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72A-4E2F-8F62-FB163532BC6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64,0%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72A-4E2F-8F62-FB163532BC6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53,3%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72A-4E2F-8F62-FB163532BC6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67,7%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72A-4E2F-8F62-FB163532BC6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48,6%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72A-4E2F-8F62-FB163532BC6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64,3%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72A-4E2F-8F62-FB163532BC6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62,2%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72A-4E2F-8F62-FB163532BC68}"/>
                </c:ext>
              </c:extLst>
            </c:dLbl>
            <c:dLbl>
              <c:idx val="8"/>
              <c:layout>
                <c:manualLayout>
                  <c:x val="-1.6073810802677384E-2"/>
                  <c:y val="-5.599447127932544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42,0%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72A-4E2F-8F62-FB163532BC68}"/>
                </c:ext>
              </c:extLst>
            </c:dLbl>
            <c:spPr>
              <a:noFill/>
              <a:ln>
                <a:noFill/>
              </a:ln>
              <a:effectLst>
                <a:glow rad="114300">
                  <a:schemeClr val="accent2">
                    <a:satMod val="175000"/>
                    <a:alpha val="42000"/>
                  </a:schemeClr>
                </a:glow>
                <a:outerShdw sx="89000" sy="89000" algn="t" rotWithShape="0">
                  <a:prstClr val="black">
                    <a:alpha val="61000"/>
                  </a:prstClr>
                </a:outerShdw>
                <a:softEdge rad="0"/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Sheet5!$A$3:$A$11</c:f>
              <c:strCache>
                <c:ptCount val="9"/>
                <c:pt idx="0">
                  <c:v>სენაკი</c:v>
                </c:pt>
                <c:pt idx="1">
                  <c:v>აბაშა</c:v>
                </c:pt>
                <c:pt idx="2">
                  <c:v>ფოთი</c:v>
                </c:pt>
                <c:pt idx="3">
                  <c:v>წალენჯიხა</c:v>
                </c:pt>
                <c:pt idx="4">
                  <c:v>მესტია</c:v>
                </c:pt>
                <c:pt idx="5">
                  <c:v>ხობი</c:v>
                </c:pt>
                <c:pt idx="6">
                  <c:v>ჩხოროწყუ</c:v>
                </c:pt>
                <c:pt idx="7">
                  <c:v>მარტვილი</c:v>
                </c:pt>
                <c:pt idx="8">
                  <c:v>ზუგდიდი</c:v>
                </c:pt>
              </c:strCache>
            </c:strRef>
          </c:cat>
          <c:val>
            <c:numRef>
              <c:f>Sheet5!$J$3:$J$11</c:f>
              <c:numCache>
                <c:formatCode>0.0</c:formatCode>
                <c:ptCount val="9"/>
                <c:pt idx="0">
                  <c:v>48.484848484848484</c:v>
                </c:pt>
                <c:pt idx="1">
                  <c:v>62.5</c:v>
                </c:pt>
                <c:pt idx="2">
                  <c:v>64</c:v>
                </c:pt>
                <c:pt idx="3">
                  <c:v>53.333333333333336</c:v>
                </c:pt>
                <c:pt idx="4">
                  <c:v>67.741935483870961</c:v>
                </c:pt>
                <c:pt idx="5">
                  <c:v>48.648648648648653</c:v>
                </c:pt>
                <c:pt idx="6">
                  <c:v>64.285714285714292</c:v>
                </c:pt>
                <c:pt idx="7">
                  <c:v>62.162162162162161</c:v>
                </c:pt>
                <c:pt idx="8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72A-4E2F-8F62-FB163532B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876416"/>
        <c:axId val="566996968"/>
      </c:lineChart>
      <c:catAx>
        <c:axId val="47836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368336"/>
        <c:crosses val="autoZero"/>
        <c:auto val="1"/>
        <c:lblAlgn val="ctr"/>
        <c:lblOffset val="100"/>
        <c:noMultiLvlLbl val="0"/>
      </c:catAx>
      <c:valAx>
        <c:axId val="4783683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78368992"/>
        <c:crosses val="autoZero"/>
        <c:crossBetween val="between"/>
      </c:valAx>
      <c:valAx>
        <c:axId val="566996968"/>
        <c:scaling>
          <c:orientation val="minMax"/>
        </c:scaling>
        <c:delete val="1"/>
        <c:axPos val="r"/>
        <c:numFmt formatCode="0.0" sourceLinked="1"/>
        <c:majorTickMark val="out"/>
        <c:minorTickMark val="none"/>
        <c:tickLblPos val="nextTo"/>
        <c:crossAx val="565876416"/>
        <c:crosses val="max"/>
        <c:crossBetween val="between"/>
      </c:valAx>
      <c:catAx>
        <c:axId val="565876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6996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>
          <a:outerShdw blurRad="50800" dist="50800" dir="5400000" algn="ctr" rotWithShape="0">
            <a:schemeClr val="bg1"/>
          </a:outerShdw>
        </a:effectLst>
      </c:spPr>
    </c:plotArea>
    <c:legend>
      <c:legendPos val="b"/>
      <c:layout>
        <c:manualLayout>
          <c:xMode val="edge"/>
          <c:yMode val="edge"/>
          <c:x val="2.6777900948157969E-2"/>
          <c:y val="0.8898911282299099"/>
          <c:w val="0.96192541969989587"/>
          <c:h val="8.12280053440973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8</xdr:row>
      <xdr:rowOff>38100</xdr:rowOff>
    </xdr:from>
    <xdr:to>
      <xdr:col>4</xdr:col>
      <xdr:colOff>371475</xdr:colOff>
      <xdr:row>22</xdr:row>
      <xdr:rowOff>114300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142875</xdr:colOff>
      <xdr:row>4</xdr:row>
      <xdr:rowOff>723900</xdr:rowOff>
    </xdr:from>
    <xdr:to>
      <xdr:col>23</xdr:col>
      <xdr:colOff>123825</xdr:colOff>
      <xdr:row>12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495299</xdr:colOff>
      <xdr:row>3</xdr:row>
      <xdr:rowOff>133350</xdr:rowOff>
    </xdr:from>
    <xdr:to>
      <xdr:col>20</xdr:col>
      <xdr:colOff>352424</xdr:colOff>
      <xdr:row>21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B3:N12" totalsRowShown="0" headerRowDxfId="26" dataDxfId="25">
  <autoFilter ref="B3:N12"/>
  <sortState ref="B4:N12">
    <sortCondition ref="K3:K12"/>
  </sortState>
  <tableColumns count="13">
    <tableColumn id="1" name="მუნიციპალიტეტი" dataDxfId="24"/>
    <tableColumn id="2" name="წევრთა რაოდენობა" dataDxfId="23"/>
    <tableColumn id="3" name="ფრაქციების რაოდენობა" dataDxfId="22"/>
    <tableColumn id="4" name="თანამდებობის  რაოდენობა" dataDxfId="21"/>
    <tableColumn id="12" name="თანამდებობა/მთლიანი (%)" dataDxfId="20">
      <calculatedColumnFormula>Table1[[#This Row],[თანამდებობის  რაოდენობა]]/Table1[[#This Row],[წევრთა რაოდენობა]]*100</calculatedColumnFormula>
    </tableColumn>
    <tableColumn id="5" name="წევრთა რაოდენობა2" dataDxfId="19"/>
    <tableColumn id="6" name="ფრაქციების რაოდენობა2" dataDxfId="18"/>
    <tableColumn id="7" name="თანამდებობის  რაოდენობა2" dataDxfId="17"/>
    <tableColumn id="8" name="თანამდებობის  რაოდენობა (ფ)" dataDxfId="16"/>
    <tableColumn id="9" name="თანამდებობა/მთლიანი (%)2" dataDxfId="15">
      <calculatedColumnFormula>Table1[[#This Row],[თანამდებობის  რაოდენობა2]]/Table1[[#This Row],[წევრთა რაოდენობა2]]*100</calculatedColumnFormula>
    </tableColumn>
    <tableColumn id="10" name="წევრთა რაოდენობა22" dataDxfId="14">
      <calculatedColumnFormula>Table1[[#This Row],[წევრთა რაოდენობა2]]-Table1[[#This Row],[წევრთა რაოდენობა]]</calculatedColumnFormula>
    </tableColumn>
    <tableColumn id="11" name="ფრაქციების რაოდენობა23" dataDxfId="13">
      <calculatedColumnFormula>Table1[[#This Row],[ფრაქციების რაოდენობა2]]-Table1[[#This Row],[ფრაქციების რაოდენობა]]</calculatedColumnFormula>
    </tableColumn>
    <tableColumn id="13" name="თანამდებობის  რაოდენობა24" dataDxfId="12">
      <calculatedColumnFormula>Table1[[#This Row],[თანამდებობის  რაოდენობა2]]-Table1[[#This Row],[თანამდებობის  რაოდენობა]]</calculatedColumnFormula>
    </tableColumn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B5:K14" totalsRowShown="0" headerRowDxfId="11" dataDxfId="10">
  <autoFilter ref="B5:K14"/>
  <tableColumns count="10">
    <tableColumn id="1" name="მუნიციპალიტეტი" dataDxfId="9"/>
    <tableColumn id="2" name="წევრთა რაოდენობა" dataDxfId="8"/>
    <tableColumn id="3" name="ფრაქციების რაოდენობა" dataDxfId="7"/>
    <tableColumn id="4" name="თანამდებობის  რაოდენობა" dataDxfId="6"/>
    <tableColumn id="12" name="თანამდებობა/მთლიანი (%)" dataDxfId="5">
      <calculatedColumnFormula>Table13[[#This Row],[თანამდებობის  რაოდენობა]]/Table13[[#This Row],[წევრთა რაოდენობა]]*100</calculatedColumnFormula>
    </tableColumn>
    <tableColumn id="5" name="წევრთა რაოდენობა2" dataDxfId="4"/>
    <tableColumn id="6" name="ფრაქციების რაოდენობა2" dataDxfId="3"/>
    <tableColumn id="7" name="თანამდებობის  რაოდენობა2" dataDxfId="2"/>
    <tableColumn id="8" name="თანამდებობის  რაოდენობა (ფ)" dataDxfId="1"/>
    <tableColumn id="9" name="თანამდებობა/მთლიანი (%)2" dataDxfId="0">
      <calculatedColumnFormula>Table13[[#This Row],[თანამდებობის  რაოდენობა2]]/Table13[[#This Row],[წევრთა რაოდენობა2]]*100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4" workbookViewId="0">
      <selection activeCell="H49" sqref="H49"/>
    </sheetView>
  </sheetViews>
  <sheetFormatPr defaultRowHeight="15" x14ac:dyDescent="0.25"/>
  <cols>
    <col min="5" max="5" width="3.7109375" customWidth="1"/>
    <col min="10" max="10" width="3.85546875" customWidth="1"/>
  </cols>
  <sheetData>
    <row r="1" spans="1:14" x14ac:dyDescent="0.25">
      <c r="A1" s="43" t="s">
        <v>0</v>
      </c>
      <c r="B1" s="43"/>
      <c r="C1" s="43"/>
      <c r="D1" s="43"/>
      <c r="F1" s="43" t="s">
        <v>1</v>
      </c>
      <c r="G1" s="43"/>
      <c r="H1" s="43"/>
      <c r="I1" s="43"/>
      <c r="K1" s="43" t="s">
        <v>2</v>
      </c>
      <c r="L1" s="43"/>
      <c r="M1" s="43"/>
      <c r="N1" s="43"/>
    </row>
    <row r="2" spans="1:14" x14ac:dyDescent="0.25">
      <c r="A2" s="1"/>
      <c r="B2" s="2">
        <v>8</v>
      </c>
      <c r="C2" s="1"/>
      <c r="D2" s="1"/>
      <c r="F2" s="1"/>
      <c r="G2" s="2">
        <v>6</v>
      </c>
      <c r="H2" s="1"/>
      <c r="I2" s="1"/>
      <c r="K2" s="1"/>
      <c r="L2" s="2">
        <v>8</v>
      </c>
      <c r="M2" s="1"/>
      <c r="N2" s="1"/>
    </row>
    <row r="3" spans="1:14" x14ac:dyDescent="0.25">
      <c r="A3" s="1">
        <v>1700</v>
      </c>
      <c r="B3" s="1">
        <f>A3*8</f>
        <v>13600</v>
      </c>
      <c r="C3" s="1">
        <f>B3*12</f>
        <v>163200</v>
      </c>
      <c r="D3" s="1"/>
      <c r="F3" s="1">
        <v>1350</v>
      </c>
      <c r="G3" s="1">
        <f>F3*6</f>
        <v>8100</v>
      </c>
      <c r="H3" s="1">
        <f>G3*12</f>
        <v>97200</v>
      </c>
      <c r="I3" s="1"/>
      <c r="K3" s="1">
        <v>1350</v>
      </c>
      <c r="L3" s="1">
        <f>K3*8</f>
        <v>10800</v>
      </c>
      <c r="M3" s="1">
        <f>L3*12</f>
        <v>129600</v>
      </c>
      <c r="N3" s="1"/>
    </row>
    <row r="4" spans="1:14" x14ac:dyDescent="0.25">
      <c r="A4" s="1"/>
      <c r="B4" s="1"/>
      <c r="C4" s="1"/>
      <c r="D4" s="1"/>
      <c r="F4" s="1"/>
      <c r="G4" s="1"/>
      <c r="H4" s="1"/>
      <c r="I4" s="1"/>
      <c r="K4" s="1"/>
      <c r="L4" s="1"/>
      <c r="M4" s="1"/>
      <c r="N4" s="1"/>
    </row>
    <row r="5" spans="1:14" x14ac:dyDescent="0.25">
      <c r="A5" s="1"/>
      <c r="B5" s="2">
        <v>4</v>
      </c>
      <c r="C5" s="1"/>
      <c r="D5" s="1"/>
      <c r="F5" s="1"/>
      <c r="G5" s="2">
        <v>4</v>
      </c>
      <c r="H5" s="1"/>
      <c r="I5" s="1"/>
      <c r="K5" s="1"/>
      <c r="L5" s="2">
        <v>5</v>
      </c>
      <c r="M5" s="1"/>
      <c r="N5" s="1"/>
    </row>
    <row r="6" spans="1:14" x14ac:dyDescent="0.25">
      <c r="A6" s="1">
        <v>1700</v>
      </c>
      <c r="B6" s="1">
        <f>A6*4</f>
        <v>6800</v>
      </c>
      <c r="C6" s="1">
        <f>B6*12</f>
        <v>81600</v>
      </c>
      <c r="D6" s="1"/>
      <c r="F6" s="1">
        <v>1350</v>
      </c>
      <c r="G6" s="1">
        <f>F6*4</f>
        <v>5400</v>
      </c>
      <c r="H6" s="1">
        <f>G6*12</f>
        <v>64800</v>
      </c>
      <c r="I6" s="1"/>
      <c r="K6" s="1">
        <v>1350</v>
      </c>
      <c r="L6" s="1">
        <f>K6*5</f>
        <v>6750</v>
      </c>
      <c r="M6" s="1">
        <f>L6*12</f>
        <v>81000</v>
      </c>
      <c r="N6" s="1"/>
    </row>
    <row r="7" spans="1:14" x14ac:dyDescent="0.25">
      <c r="A7" s="1"/>
      <c r="B7" s="2">
        <v>5</v>
      </c>
      <c r="C7" s="1"/>
      <c r="D7" s="1"/>
      <c r="F7" s="1"/>
      <c r="G7" s="2">
        <v>5</v>
      </c>
      <c r="H7" s="1"/>
      <c r="I7" s="1"/>
      <c r="K7" s="1"/>
      <c r="L7" s="2">
        <v>6</v>
      </c>
      <c r="M7" s="1"/>
      <c r="N7" s="1"/>
    </row>
    <row r="8" spans="1:14" x14ac:dyDescent="0.25">
      <c r="A8" s="1">
        <v>1200</v>
      </c>
      <c r="B8" s="1">
        <f>A8*5</f>
        <v>6000</v>
      </c>
      <c r="C8" s="1">
        <f>B8*12</f>
        <v>72000</v>
      </c>
      <c r="D8" s="1"/>
      <c r="F8" s="1">
        <v>1100</v>
      </c>
      <c r="G8" s="1">
        <f>F8*5</f>
        <v>5500</v>
      </c>
      <c r="H8" s="1">
        <f>G8*12</f>
        <v>66000</v>
      </c>
      <c r="I8" s="1"/>
      <c r="K8" s="1">
        <v>1100</v>
      </c>
      <c r="L8" s="1">
        <f>K8*6</f>
        <v>6600</v>
      </c>
      <c r="M8" s="1">
        <f>L8*12</f>
        <v>79200</v>
      </c>
      <c r="N8" s="1"/>
    </row>
    <row r="9" spans="1:14" x14ac:dyDescent="0.25">
      <c r="A9" s="1"/>
      <c r="B9" s="1"/>
      <c r="C9" s="1"/>
      <c r="D9" s="1"/>
      <c r="F9" s="1"/>
      <c r="G9" s="1"/>
      <c r="H9" s="1"/>
      <c r="I9" s="1"/>
      <c r="K9" s="1"/>
      <c r="L9" s="1"/>
      <c r="M9" s="1"/>
      <c r="N9" s="1"/>
    </row>
    <row r="10" spans="1:14" x14ac:dyDescent="0.25">
      <c r="A10" s="1"/>
      <c r="B10" s="1"/>
      <c r="C10" s="1">
        <f>C8+C6</f>
        <v>153600</v>
      </c>
      <c r="D10" s="3">
        <f>C10-C3</f>
        <v>-9600</v>
      </c>
      <c r="F10" s="1"/>
      <c r="G10" s="1"/>
      <c r="H10" s="1">
        <f>H8+H6</f>
        <v>130800</v>
      </c>
      <c r="I10" s="3">
        <f>H10-H3</f>
        <v>33600</v>
      </c>
      <c r="K10" s="1"/>
      <c r="L10" s="1"/>
      <c r="M10" s="1">
        <f>M8+M6</f>
        <v>160200</v>
      </c>
      <c r="N10" s="3">
        <f>M10-M3</f>
        <v>30600</v>
      </c>
    </row>
    <row r="12" spans="1:14" hidden="1" x14ac:dyDescent="0.25"/>
    <row r="13" spans="1:14" x14ac:dyDescent="0.25">
      <c r="A13" s="43" t="s">
        <v>3</v>
      </c>
      <c r="B13" s="43"/>
      <c r="C13" s="43"/>
      <c r="D13" s="43"/>
      <c r="F13" s="43" t="s">
        <v>4</v>
      </c>
      <c r="G13" s="43"/>
      <c r="H13" s="43"/>
      <c r="I13" s="43"/>
      <c r="K13" s="43" t="s">
        <v>5</v>
      </c>
      <c r="L13" s="43"/>
      <c r="M13" s="43"/>
      <c r="N13" s="43"/>
    </row>
    <row r="14" spans="1:14" x14ac:dyDescent="0.25">
      <c r="A14" s="1"/>
      <c r="B14" s="2">
        <v>8</v>
      </c>
      <c r="C14" s="1"/>
      <c r="D14" s="1"/>
      <c r="F14" s="1"/>
      <c r="G14" s="2">
        <v>8</v>
      </c>
      <c r="H14" s="1"/>
      <c r="I14" s="1"/>
      <c r="K14" s="1"/>
      <c r="L14" s="2">
        <v>10</v>
      </c>
      <c r="M14" s="1"/>
      <c r="N14" s="1"/>
    </row>
    <row r="15" spans="1:14" x14ac:dyDescent="0.25">
      <c r="A15" s="1">
        <v>1650</v>
      </c>
      <c r="B15" s="1">
        <f>A15*8</f>
        <v>13200</v>
      </c>
      <c r="C15" s="1">
        <f>B15*12</f>
        <v>158400</v>
      </c>
      <c r="D15" s="1"/>
      <c r="F15" s="1">
        <v>1350</v>
      </c>
      <c r="G15" s="1">
        <f>F15*8</f>
        <v>10800</v>
      </c>
      <c r="H15" s="1">
        <f>G15*12</f>
        <v>129600</v>
      </c>
      <c r="I15" s="1"/>
      <c r="K15" s="1">
        <v>1687</v>
      </c>
      <c r="L15" s="1">
        <f>K15*10</f>
        <v>16870</v>
      </c>
      <c r="M15" s="1">
        <f>L15*12</f>
        <v>202440</v>
      </c>
      <c r="N15" s="1"/>
    </row>
    <row r="16" spans="1:14" x14ac:dyDescent="0.25">
      <c r="A16" s="1"/>
      <c r="B16" s="1"/>
      <c r="C16" s="1"/>
      <c r="D16" s="1"/>
      <c r="F16" s="1"/>
      <c r="G16" s="1"/>
      <c r="H16" s="1"/>
      <c r="I16" s="1"/>
      <c r="K16" s="1"/>
      <c r="L16" s="1"/>
      <c r="M16" s="1"/>
      <c r="N16" s="1"/>
    </row>
    <row r="17" spans="1:14" x14ac:dyDescent="0.25">
      <c r="A17" s="1"/>
      <c r="B17" s="2">
        <v>6</v>
      </c>
      <c r="C17" s="1"/>
      <c r="D17" s="1"/>
      <c r="F17" s="1"/>
      <c r="G17" s="2">
        <v>7</v>
      </c>
      <c r="H17" s="1"/>
      <c r="I17" s="1"/>
      <c r="K17" s="1"/>
      <c r="L17" s="2">
        <v>9</v>
      </c>
      <c r="M17" s="1"/>
      <c r="N17" s="1"/>
    </row>
    <row r="18" spans="1:14" x14ac:dyDescent="0.25">
      <c r="A18" s="1">
        <v>1650</v>
      </c>
      <c r="B18" s="1">
        <f>A18*6</f>
        <v>9900</v>
      </c>
      <c r="C18" s="1">
        <f>B18*12</f>
        <v>118800</v>
      </c>
      <c r="D18" s="1"/>
      <c r="F18" s="1">
        <v>1350</v>
      </c>
      <c r="G18" s="1">
        <f>F18*7</f>
        <v>9450</v>
      </c>
      <c r="H18" s="1">
        <f>G18*12</f>
        <v>113400</v>
      </c>
      <c r="I18" s="1"/>
      <c r="K18" s="1">
        <v>1700</v>
      </c>
      <c r="L18" s="1">
        <f>K18*9</f>
        <v>15300</v>
      </c>
      <c r="M18" s="1">
        <f>L18*12</f>
        <v>183600</v>
      </c>
      <c r="N18" s="1"/>
    </row>
    <row r="19" spans="1:14" x14ac:dyDescent="0.25">
      <c r="A19" s="1"/>
      <c r="B19" s="2">
        <v>7</v>
      </c>
      <c r="C19" s="1"/>
      <c r="D19" s="1"/>
      <c r="F19" s="1"/>
      <c r="G19" s="2">
        <v>7</v>
      </c>
      <c r="H19" s="1"/>
      <c r="I19" s="1"/>
      <c r="K19" s="1"/>
      <c r="L19" s="2">
        <v>7</v>
      </c>
      <c r="M19" s="4"/>
      <c r="N19" s="4"/>
    </row>
    <row r="20" spans="1:14" x14ac:dyDescent="0.25">
      <c r="A20" s="1">
        <v>1200</v>
      </c>
      <c r="B20" s="1">
        <f>A20*7</f>
        <v>8400</v>
      </c>
      <c r="C20" s="1">
        <f>B20*12</f>
        <v>100800</v>
      </c>
      <c r="D20" s="1"/>
      <c r="F20" s="1">
        <v>1050</v>
      </c>
      <c r="G20" s="1">
        <f>F20*7</f>
        <v>7350</v>
      </c>
      <c r="H20" s="1">
        <f>G20*12</f>
        <v>88200</v>
      </c>
      <c r="I20" s="1"/>
      <c r="K20" s="1">
        <v>1250</v>
      </c>
      <c r="L20" s="4">
        <f>K20*7</f>
        <v>8750</v>
      </c>
      <c r="M20" s="4">
        <f>L20*12</f>
        <v>105000</v>
      </c>
      <c r="N20" s="4"/>
    </row>
    <row r="21" spans="1:14" x14ac:dyDescent="0.25">
      <c r="A21" s="1"/>
      <c r="B21" s="1"/>
      <c r="C21" s="1"/>
      <c r="D21" s="1"/>
      <c r="F21" s="1"/>
      <c r="G21" s="1"/>
      <c r="H21" s="1"/>
      <c r="I21" s="1"/>
      <c r="K21" s="1"/>
      <c r="L21" s="1"/>
      <c r="M21" s="1"/>
      <c r="N21" s="1"/>
    </row>
    <row r="22" spans="1:14" x14ac:dyDescent="0.25">
      <c r="A22" s="1"/>
      <c r="B22" s="1"/>
      <c r="C22" s="1">
        <f>C20+C18</f>
        <v>219600</v>
      </c>
      <c r="D22" s="3">
        <f>C22-C15</f>
        <v>61200</v>
      </c>
      <c r="F22" s="1"/>
      <c r="G22" s="1"/>
      <c r="H22" s="1">
        <f>H20+H18</f>
        <v>201600</v>
      </c>
      <c r="I22" s="3">
        <f>H22-H15</f>
        <v>72000</v>
      </c>
      <c r="K22" s="1"/>
      <c r="L22" s="1"/>
      <c r="M22" s="1">
        <f>M20+M18</f>
        <v>288600</v>
      </c>
      <c r="N22" s="3">
        <f>M22-M15</f>
        <v>86160</v>
      </c>
    </row>
    <row r="24" spans="1:14" hidden="1" x14ac:dyDescent="0.25"/>
    <row r="25" spans="1:14" x14ac:dyDescent="0.25">
      <c r="A25" s="43" t="s">
        <v>6</v>
      </c>
      <c r="B25" s="43"/>
      <c r="C25" s="43"/>
      <c r="D25" s="43"/>
      <c r="F25" s="43" t="s">
        <v>7</v>
      </c>
      <c r="G25" s="43"/>
      <c r="H25" s="43"/>
      <c r="I25" s="43"/>
      <c r="K25" s="43" t="s">
        <v>8</v>
      </c>
      <c r="L25" s="43"/>
      <c r="M25" s="43"/>
      <c r="N25" s="43"/>
    </row>
    <row r="26" spans="1:14" x14ac:dyDescent="0.25">
      <c r="A26" s="1"/>
      <c r="B26" s="2">
        <v>3</v>
      </c>
      <c r="C26" s="1"/>
      <c r="D26" s="1"/>
      <c r="F26" s="1"/>
      <c r="G26" s="2">
        <v>7</v>
      </c>
      <c r="H26" s="1"/>
      <c r="I26" s="1"/>
      <c r="K26" s="1"/>
      <c r="L26" s="2">
        <v>11</v>
      </c>
      <c r="M26" s="1"/>
      <c r="N26" s="1"/>
    </row>
    <row r="27" spans="1:14" x14ac:dyDescent="0.25">
      <c r="A27" s="1">
        <v>2400</v>
      </c>
      <c r="B27" s="1">
        <f>A27*3</f>
        <v>7200</v>
      </c>
      <c r="C27" s="1">
        <f>B27*12</f>
        <v>86400</v>
      </c>
      <c r="D27" s="1"/>
      <c r="F27" s="1">
        <v>1500</v>
      </c>
      <c r="G27" s="1">
        <f>F27*7</f>
        <v>10500</v>
      </c>
      <c r="H27" s="1">
        <f>G27*12</f>
        <v>126000</v>
      </c>
      <c r="I27" s="1"/>
      <c r="K27" s="1">
        <v>2000</v>
      </c>
      <c r="L27" s="1">
        <f>K27*11</f>
        <v>22000</v>
      </c>
      <c r="M27" s="1">
        <f>L27*12</f>
        <v>264000</v>
      </c>
      <c r="N27" s="1"/>
    </row>
    <row r="28" spans="1:14" x14ac:dyDescent="0.25">
      <c r="A28" s="1"/>
      <c r="B28" s="1"/>
      <c r="C28" s="1"/>
      <c r="D28" s="1"/>
      <c r="F28" s="1"/>
      <c r="G28" s="1"/>
      <c r="H28" s="1"/>
      <c r="I28" s="1"/>
      <c r="K28" s="1"/>
      <c r="L28" s="1"/>
      <c r="M28" s="1"/>
      <c r="N28" s="1"/>
    </row>
    <row r="29" spans="1:14" x14ac:dyDescent="0.25">
      <c r="A29" s="1"/>
      <c r="B29" s="2">
        <v>5</v>
      </c>
      <c r="C29" s="1"/>
      <c r="D29" s="1"/>
      <c r="F29" s="1"/>
      <c r="G29" s="2">
        <v>5</v>
      </c>
      <c r="H29" s="1"/>
      <c r="I29" s="1"/>
      <c r="K29" s="1"/>
      <c r="L29" s="2">
        <v>6</v>
      </c>
      <c r="M29" s="1"/>
      <c r="N29" s="1"/>
    </row>
    <row r="30" spans="1:14" x14ac:dyDescent="0.25">
      <c r="A30" s="1">
        <v>2500</v>
      </c>
      <c r="B30" s="1">
        <f>A30*5</f>
        <v>12500</v>
      </c>
      <c r="C30" s="1">
        <f>B30*12</f>
        <v>150000</v>
      </c>
      <c r="D30" s="1"/>
      <c r="F30" s="1">
        <v>1550</v>
      </c>
      <c r="G30" s="1">
        <f>F30*5</f>
        <v>7750</v>
      </c>
      <c r="H30" s="1">
        <f>G30*12</f>
        <v>93000</v>
      </c>
      <c r="I30" s="1"/>
      <c r="K30" s="1">
        <v>2000</v>
      </c>
      <c r="L30" s="1">
        <f>K30*6</f>
        <v>12000</v>
      </c>
      <c r="M30" s="1">
        <f>L30*12</f>
        <v>144000</v>
      </c>
      <c r="N30" s="1"/>
    </row>
    <row r="31" spans="1:14" x14ac:dyDescent="0.25">
      <c r="A31" s="1"/>
      <c r="B31" s="2">
        <v>4</v>
      </c>
      <c r="C31" s="4"/>
      <c r="D31" s="4"/>
      <c r="F31" s="1"/>
      <c r="G31" s="2">
        <v>6</v>
      </c>
      <c r="H31" s="4"/>
      <c r="I31" s="4"/>
      <c r="K31" s="1"/>
      <c r="L31" s="2">
        <v>7</v>
      </c>
      <c r="M31" s="4"/>
      <c r="N31" s="4"/>
    </row>
    <row r="32" spans="1:14" x14ac:dyDescent="0.25">
      <c r="A32" s="1">
        <v>2200</v>
      </c>
      <c r="B32" s="4">
        <f>A32*4</f>
        <v>8800</v>
      </c>
      <c r="C32" s="4">
        <f>B32*12</f>
        <v>105600</v>
      </c>
      <c r="D32" s="4"/>
      <c r="F32" s="1">
        <v>1200</v>
      </c>
      <c r="G32" s="4">
        <f>F32*6</f>
        <v>7200</v>
      </c>
      <c r="H32" s="4">
        <f>G32*12</f>
        <v>86400</v>
      </c>
      <c r="I32" s="4"/>
      <c r="K32" s="1">
        <v>1250</v>
      </c>
      <c r="L32" s="4">
        <f>K32*7</f>
        <v>8750</v>
      </c>
      <c r="M32" s="4">
        <f>L32*12</f>
        <v>105000</v>
      </c>
      <c r="N32" s="4"/>
    </row>
    <row r="33" spans="1:14" x14ac:dyDescent="0.25">
      <c r="A33" s="1"/>
      <c r="B33" s="1"/>
      <c r="C33" s="1"/>
      <c r="D33" s="1"/>
      <c r="F33" s="1"/>
      <c r="G33" s="1"/>
      <c r="H33" s="1"/>
      <c r="I33" s="1"/>
      <c r="K33" s="1"/>
      <c r="L33" s="1"/>
      <c r="M33" s="1"/>
      <c r="N33" s="1"/>
    </row>
    <row r="34" spans="1:14" x14ac:dyDescent="0.25">
      <c r="A34" s="1"/>
      <c r="B34" s="1"/>
      <c r="C34" s="1">
        <f>C32+C30</f>
        <v>255600</v>
      </c>
      <c r="D34" s="3">
        <f>C34-C27</f>
        <v>169200</v>
      </c>
      <c r="F34" s="1"/>
      <c r="G34" s="1"/>
      <c r="H34" s="1">
        <f>H32+H30</f>
        <v>179400</v>
      </c>
      <c r="I34" s="3">
        <f>H34-H27</f>
        <v>53400</v>
      </c>
      <c r="K34" s="1"/>
      <c r="L34" s="1"/>
      <c r="M34" s="1">
        <f>M32+M30</f>
        <v>249000</v>
      </c>
      <c r="N34" s="3">
        <f>M34-M27</f>
        <v>-15000</v>
      </c>
    </row>
    <row r="36" spans="1:14" x14ac:dyDescent="0.25">
      <c r="A36" s="42">
        <f>D34+I34+N34+D22+I22+N22+N10+I10+D10</f>
        <v>481560</v>
      </c>
      <c r="B36" s="42"/>
      <c r="C36" s="42"/>
    </row>
  </sheetData>
  <mergeCells count="10">
    <mergeCell ref="A36:C36"/>
    <mergeCell ref="A25:D25"/>
    <mergeCell ref="A1:D1"/>
    <mergeCell ref="F1:I1"/>
    <mergeCell ref="K1:N1"/>
    <mergeCell ref="A13:D13"/>
    <mergeCell ref="F13:I13"/>
    <mergeCell ref="K13:N13"/>
    <mergeCell ref="F25:I25"/>
    <mergeCell ref="K25:N25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4" workbookViewId="0">
      <selection activeCell="I6" sqref="I6"/>
    </sheetView>
  </sheetViews>
  <sheetFormatPr defaultRowHeight="15" x14ac:dyDescent="0.25"/>
  <cols>
    <col min="1" max="4" width="16.140625" customWidth="1"/>
  </cols>
  <sheetData>
    <row r="1" spans="1:4" x14ac:dyDescent="0.25">
      <c r="A1" t="s">
        <v>9</v>
      </c>
      <c r="B1" t="s">
        <v>10</v>
      </c>
      <c r="C1" t="s">
        <v>11</v>
      </c>
    </row>
    <row r="2" spans="1:4" x14ac:dyDescent="0.25">
      <c r="A2" t="s">
        <v>0</v>
      </c>
      <c r="B2">
        <v>163200</v>
      </c>
      <c r="C2">
        <v>153600</v>
      </c>
      <c r="D2">
        <f>C2-B2</f>
        <v>-9600</v>
      </c>
    </row>
    <row r="3" spans="1:4" x14ac:dyDescent="0.25">
      <c r="A3" t="s">
        <v>3</v>
      </c>
      <c r="B3">
        <v>158400</v>
      </c>
      <c r="C3">
        <v>219600</v>
      </c>
      <c r="D3">
        <f t="shared" ref="D3:D11" si="0">C3-B3</f>
        <v>61200</v>
      </c>
    </row>
    <row r="4" spans="1:4" x14ac:dyDescent="0.25">
      <c r="A4" t="s">
        <v>12</v>
      </c>
      <c r="B4">
        <v>86400</v>
      </c>
      <c r="C4">
        <v>255600</v>
      </c>
      <c r="D4">
        <f t="shared" si="0"/>
        <v>169200</v>
      </c>
    </row>
    <row r="5" spans="1:4" x14ac:dyDescent="0.25">
      <c r="A5" t="s">
        <v>1</v>
      </c>
      <c r="B5">
        <v>97200</v>
      </c>
      <c r="C5">
        <v>130800</v>
      </c>
      <c r="D5">
        <f t="shared" si="0"/>
        <v>33600</v>
      </c>
    </row>
    <row r="6" spans="1:4" x14ac:dyDescent="0.25">
      <c r="A6" t="s">
        <v>4</v>
      </c>
      <c r="B6">
        <v>129600</v>
      </c>
      <c r="C6">
        <v>201600</v>
      </c>
      <c r="D6">
        <f t="shared" si="0"/>
        <v>72000</v>
      </c>
    </row>
    <row r="7" spans="1:4" x14ac:dyDescent="0.25">
      <c r="A7" t="s">
        <v>7</v>
      </c>
      <c r="B7">
        <v>126000</v>
      </c>
      <c r="C7">
        <v>179400</v>
      </c>
      <c r="D7">
        <f t="shared" si="0"/>
        <v>53400</v>
      </c>
    </row>
    <row r="8" spans="1:4" x14ac:dyDescent="0.25">
      <c r="A8" t="s">
        <v>2</v>
      </c>
      <c r="B8">
        <v>129600</v>
      </c>
      <c r="C8">
        <v>160200</v>
      </c>
      <c r="D8">
        <f t="shared" si="0"/>
        <v>30600</v>
      </c>
    </row>
    <row r="9" spans="1:4" x14ac:dyDescent="0.25">
      <c r="A9" t="s">
        <v>5</v>
      </c>
      <c r="B9">
        <v>202440</v>
      </c>
      <c r="C9">
        <v>288600</v>
      </c>
      <c r="D9">
        <f t="shared" si="0"/>
        <v>86160</v>
      </c>
    </row>
    <row r="10" spans="1:4" x14ac:dyDescent="0.25">
      <c r="A10" t="s">
        <v>8</v>
      </c>
      <c r="B10">
        <v>264000</v>
      </c>
      <c r="C10">
        <v>249000</v>
      </c>
      <c r="D10">
        <f t="shared" si="0"/>
        <v>-15000</v>
      </c>
    </row>
    <row r="11" spans="1:4" x14ac:dyDescent="0.25">
      <c r="B11">
        <f>SUM(B2:B10)</f>
        <v>1356840</v>
      </c>
      <c r="C11">
        <f>SUM(C2:C10)</f>
        <v>1838400</v>
      </c>
      <c r="D11">
        <f t="shared" si="0"/>
        <v>481560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0"/>
  <sheetViews>
    <sheetView tabSelected="1" topLeftCell="A10" workbookViewId="0">
      <selection activeCell="E18" sqref="E18"/>
    </sheetView>
  </sheetViews>
  <sheetFormatPr defaultRowHeight="15" x14ac:dyDescent="0.25"/>
  <cols>
    <col min="1" max="1" width="7.5703125" customWidth="1"/>
    <col min="2" max="2" width="26.140625" customWidth="1"/>
    <col min="3" max="14" width="14.140625" customWidth="1"/>
  </cols>
  <sheetData>
    <row r="1" spans="2:14" ht="15.75" thickBot="1" x14ac:dyDescent="0.3"/>
    <row r="2" spans="2:14" ht="15" customHeight="1" thickBot="1" x14ac:dyDescent="0.3">
      <c r="C2" s="47" t="s">
        <v>10</v>
      </c>
      <c r="D2" s="48"/>
      <c r="E2" s="48"/>
      <c r="F2" s="49"/>
      <c r="G2" s="44" t="s">
        <v>11</v>
      </c>
      <c r="H2" s="45"/>
      <c r="I2" s="45"/>
      <c r="J2" s="45"/>
      <c r="K2" s="46"/>
      <c r="L2" s="44" t="s">
        <v>24</v>
      </c>
      <c r="M2" s="45"/>
      <c r="N2" s="45"/>
    </row>
    <row r="3" spans="2:14" ht="148.5" customHeight="1" x14ac:dyDescent="0.25">
      <c r="B3" s="5" t="s">
        <v>22</v>
      </c>
      <c r="C3" s="9" t="s">
        <v>13</v>
      </c>
      <c r="D3" s="9" t="s">
        <v>14</v>
      </c>
      <c r="E3" s="9" t="s">
        <v>16</v>
      </c>
      <c r="F3" s="9" t="s">
        <v>20</v>
      </c>
      <c r="G3" s="25" t="s">
        <v>19</v>
      </c>
      <c r="H3" s="25" t="s">
        <v>15</v>
      </c>
      <c r="I3" s="26" t="s">
        <v>18</v>
      </c>
      <c r="J3" s="25" t="s">
        <v>17</v>
      </c>
      <c r="K3" s="25" t="s">
        <v>21</v>
      </c>
      <c r="L3" s="24" t="s">
        <v>25</v>
      </c>
      <c r="M3" s="24" t="s">
        <v>26</v>
      </c>
      <c r="N3" s="24" t="s">
        <v>27</v>
      </c>
    </row>
    <row r="4" spans="2:14" x14ac:dyDescent="0.25">
      <c r="B4" s="8" t="s">
        <v>8</v>
      </c>
      <c r="C4" s="7">
        <v>60</v>
      </c>
      <c r="D4" s="7">
        <v>11</v>
      </c>
      <c r="E4" s="7">
        <f>D4+10+4</f>
        <v>25</v>
      </c>
      <c r="F4" s="16">
        <f>Table1[[#This Row],[თანამდებობის  რაოდენობა]]/Table1[[#This Row],[წევრთა რაოდენობა]]*100</f>
        <v>41.666666666666671</v>
      </c>
      <c r="G4" s="7">
        <v>50</v>
      </c>
      <c r="H4" s="7">
        <v>6</v>
      </c>
      <c r="I4" s="7">
        <f>J4+8</f>
        <v>21</v>
      </c>
      <c r="J4" s="7">
        <v>13</v>
      </c>
      <c r="K4" s="15">
        <f>Table1[[#This Row],[თანამდებობის  რაოდენობა2]]/Table1[[#This Row],[წევრთა რაოდენობა2]]*100</f>
        <v>42</v>
      </c>
      <c r="L4" s="21">
        <f>Table1[[#This Row],[წევრთა რაოდენობა2]]-Table1[[#This Row],[წევრთა რაოდენობა]]</f>
        <v>-10</v>
      </c>
      <c r="M4" s="21">
        <f>Table1[[#This Row],[ფრაქციების რაოდენობა2]]-Table1[[#This Row],[ფრაქციების რაოდენობა]]</f>
        <v>-5</v>
      </c>
      <c r="N4" s="21">
        <f>Table1[[#This Row],[თანამდებობის  რაოდენობა2]]-Table1[[#This Row],[თანამდებობის  რაოდენობა]]</f>
        <v>-4</v>
      </c>
    </row>
    <row r="5" spans="2:14" x14ac:dyDescent="0.25">
      <c r="B5" s="8" t="s">
        <v>0</v>
      </c>
      <c r="C5" s="7">
        <v>30</v>
      </c>
      <c r="D5" s="7">
        <v>8</v>
      </c>
      <c r="E5" s="7">
        <f t="shared" ref="E5:E12" si="0">D5+7</f>
        <v>15</v>
      </c>
      <c r="F5" s="16">
        <f>Table1[[#This Row],[თანამდებობის  რაოდენობა]]/Table1[[#This Row],[წევრთა რაოდენობა]]*100</f>
        <v>50</v>
      </c>
      <c r="G5" s="7">
        <v>33</v>
      </c>
      <c r="H5" s="7">
        <v>4</v>
      </c>
      <c r="I5" s="7">
        <f>J5+5+2</f>
        <v>16</v>
      </c>
      <c r="J5" s="7">
        <v>9</v>
      </c>
      <c r="K5" s="16">
        <f>Table1[[#This Row],[თანამდებობის  რაოდენობა2]]/Table1[[#This Row],[წევრთა რაოდენობა2]]*100</f>
        <v>48.484848484848484</v>
      </c>
      <c r="L5" s="20">
        <f>Table1[[#This Row],[წევრთა რაოდენობა2]]-Table1[[#This Row],[წევრთა რაოდენობა]]</f>
        <v>3</v>
      </c>
      <c r="M5" s="20">
        <f>Table1[[#This Row],[ფრაქციების რაოდენობა2]]-Table1[[#This Row],[ფრაქციების რაოდენობა]]</f>
        <v>-4</v>
      </c>
      <c r="N5" s="20">
        <f>Table1[[#This Row],[თანამდებობის  რაოდენობა2]]-Table1[[#This Row],[თანამდებობის  რაოდენობა]]</f>
        <v>1</v>
      </c>
    </row>
    <row r="6" spans="2:14" x14ac:dyDescent="0.25">
      <c r="B6" s="8" t="s">
        <v>7</v>
      </c>
      <c r="C6" s="7">
        <f>21+15</f>
        <v>36</v>
      </c>
      <c r="D6" s="7">
        <v>7</v>
      </c>
      <c r="E6" s="7">
        <f t="shared" si="0"/>
        <v>14</v>
      </c>
      <c r="F6" s="16">
        <f>Table1[[#This Row],[თანამდებობის  რაოდენობა]]/Table1[[#This Row],[წევრთა რაოდენობა]]*100</f>
        <v>38.888888888888893</v>
      </c>
      <c r="G6" s="7">
        <v>37</v>
      </c>
      <c r="H6" s="7">
        <v>5</v>
      </c>
      <c r="I6" s="7">
        <f>J6+7</f>
        <v>18</v>
      </c>
      <c r="J6" s="7">
        <v>11</v>
      </c>
      <c r="K6" s="16">
        <f>Table1[[#This Row],[თანამდებობის  რაოდენობა2]]/Table1[[#This Row],[წევრთა რაოდენობა2]]*100</f>
        <v>48.648648648648653</v>
      </c>
      <c r="L6" s="20">
        <f>Table1[[#This Row],[წევრთა რაოდენობა2]]-Table1[[#This Row],[წევრთა რაოდენობა]]</f>
        <v>1</v>
      </c>
      <c r="M6" s="20">
        <f>Table1[[#This Row],[ფრაქციების რაოდენობა2]]-Table1[[#This Row],[ფრაქციების რაოდენობა]]</f>
        <v>-2</v>
      </c>
      <c r="N6" s="20">
        <f>Table1[[#This Row],[თანამდებობის  რაოდენობა2]]-Table1[[#This Row],[თანამდებობის  რაოდენობა]]</f>
        <v>4</v>
      </c>
    </row>
    <row r="7" spans="2:14" x14ac:dyDescent="0.25">
      <c r="B7" s="8" t="s">
        <v>1</v>
      </c>
      <c r="C7" s="7">
        <f>14+15</f>
        <v>29</v>
      </c>
      <c r="D7" s="7">
        <v>6</v>
      </c>
      <c r="E7" s="7">
        <f t="shared" si="0"/>
        <v>13</v>
      </c>
      <c r="F7" s="16">
        <f>Table1[[#This Row],[თანამდებობის  რაოდენობა]]/Table1[[#This Row],[წევრთა რაოდენობა]]*100</f>
        <v>44.827586206896555</v>
      </c>
      <c r="G7" s="7">
        <v>30</v>
      </c>
      <c r="H7" s="7">
        <v>4</v>
      </c>
      <c r="I7" s="7">
        <f>J7+5+2</f>
        <v>16</v>
      </c>
      <c r="J7" s="7">
        <v>9</v>
      </c>
      <c r="K7" s="16">
        <f>Table1[[#This Row],[თანამდებობის  რაოდენობა2]]/Table1[[#This Row],[წევრთა რაოდენობა2]]*100</f>
        <v>53.333333333333336</v>
      </c>
      <c r="L7" s="20">
        <f>Table1[[#This Row],[წევრთა რაოდენობა2]]-Table1[[#This Row],[წევრთა რაოდენობა]]</f>
        <v>1</v>
      </c>
      <c r="M7" s="20">
        <f>Table1[[#This Row],[ფრაქციების რაოდენობა2]]-Table1[[#This Row],[ფრაქციების რაოდენობა]]</f>
        <v>-2</v>
      </c>
      <c r="N7" s="20">
        <f>Table1[[#This Row],[თანამდებობის  რაოდენობა2]]-Table1[[#This Row],[თანამდებობის  რაოდენობა]]</f>
        <v>3</v>
      </c>
    </row>
    <row r="8" spans="2:14" x14ac:dyDescent="0.25">
      <c r="B8" s="8" t="s">
        <v>5</v>
      </c>
      <c r="C8" s="7">
        <f>21+15</f>
        <v>36</v>
      </c>
      <c r="D8" s="7">
        <v>10</v>
      </c>
      <c r="E8" s="7">
        <f t="shared" si="0"/>
        <v>17</v>
      </c>
      <c r="F8" s="16">
        <f>Table1[[#This Row],[თანამდებობის  რაოდენობა]]/Table1[[#This Row],[წევრთა რაოდენობა]]*100</f>
        <v>47.222222222222221</v>
      </c>
      <c r="G8" s="7">
        <v>37</v>
      </c>
      <c r="H8" s="7">
        <v>9</v>
      </c>
      <c r="I8" s="7">
        <f>J8+7</f>
        <v>23</v>
      </c>
      <c r="J8" s="7">
        <v>16</v>
      </c>
      <c r="K8" s="16">
        <f>Table1[[#This Row],[თანამდებობის  რაოდენობა2]]/Table1[[#This Row],[წევრთა რაოდენობა2]]*100</f>
        <v>62.162162162162161</v>
      </c>
      <c r="L8" s="20">
        <f>Table1[[#This Row],[წევრთა რაოდენობა2]]-Table1[[#This Row],[წევრთა რაოდენობა]]</f>
        <v>1</v>
      </c>
      <c r="M8" s="20">
        <f>Table1[[#This Row],[ფრაქციების რაოდენობა2]]-Table1[[#This Row],[ფრაქციების რაოდენობა]]</f>
        <v>-1</v>
      </c>
      <c r="N8" s="20">
        <f>Table1[[#This Row],[თანამდებობის  რაოდენობა2]]-Table1[[#This Row],[თანამდებობის  რაოდენობა]]</f>
        <v>6</v>
      </c>
    </row>
    <row r="9" spans="2:14" x14ac:dyDescent="0.25">
      <c r="B9" s="8" t="s">
        <v>3</v>
      </c>
      <c r="C9" s="7">
        <f>16+15</f>
        <v>31</v>
      </c>
      <c r="D9" s="7">
        <v>8</v>
      </c>
      <c r="E9" s="7">
        <f t="shared" si="0"/>
        <v>15</v>
      </c>
      <c r="F9" s="16">
        <f>Table1[[#This Row],[თანამდებობის  რაოდენობა]]/Table1[[#This Row],[წევრთა რაოდენობა]]*100</f>
        <v>48.387096774193552</v>
      </c>
      <c r="G9" s="7">
        <v>32</v>
      </c>
      <c r="H9" s="7">
        <v>6</v>
      </c>
      <c r="I9" s="7">
        <f>J9+5+2</f>
        <v>20</v>
      </c>
      <c r="J9" s="7">
        <v>13</v>
      </c>
      <c r="K9" s="16">
        <f>Table1[[#This Row],[თანამდებობის  რაოდენობა2]]/Table1[[#This Row],[წევრთა რაოდენობა2]]*100</f>
        <v>62.5</v>
      </c>
      <c r="L9" s="20">
        <f>Table1[[#This Row],[წევრთა რაოდენობა2]]-Table1[[#This Row],[წევრთა რაოდენობა]]</f>
        <v>1</v>
      </c>
      <c r="M9" s="20">
        <f>Table1[[#This Row],[ფრაქციების რაოდენობა2]]-Table1[[#This Row],[ფრაქციების რაოდენობა]]</f>
        <v>-2</v>
      </c>
      <c r="N9" s="20">
        <f>Table1[[#This Row],[თანამდებობის  რაოდენობა2]]-Table1[[#This Row],[თანამდებობის  რაოდენობა]]</f>
        <v>5</v>
      </c>
    </row>
    <row r="10" spans="2:14" x14ac:dyDescent="0.25">
      <c r="B10" s="8" t="s">
        <v>12</v>
      </c>
      <c r="C10" s="7">
        <v>15</v>
      </c>
      <c r="D10" s="7">
        <v>3</v>
      </c>
      <c r="E10" s="7">
        <f t="shared" si="0"/>
        <v>10</v>
      </c>
      <c r="F10" s="16">
        <f>Table1[[#This Row],[თანამდებობის  რაოდენობა]]/Table1[[#This Row],[წევრთა რაოდენობა]]*100</f>
        <v>66.666666666666657</v>
      </c>
      <c r="G10" s="7">
        <v>25</v>
      </c>
      <c r="H10" s="7">
        <v>5</v>
      </c>
      <c r="I10" s="7">
        <f>J10+5+2</f>
        <v>16</v>
      </c>
      <c r="J10" s="7">
        <v>9</v>
      </c>
      <c r="K10" s="16">
        <f>Table1[[#This Row],[თანამდებობის  რაოდენობა2]]/Table1[[#This Row],[წევრთა რაოდენობა2]]*100</f>
        <v>64</v>
      </c>
      <c r="L10" s="20">
        <f>Table1[[#This Row],[წევრთა რაოდენობა2]]-Table1[[#This Row],[წევრთა რაოდენობა]]</f>
        <v>10</v>
      </c>
      <c r="M10" s="20">
        <f>Table1[[#This Row],[ფრაქციების რაოდენობა2]]-Table1[[#This Row],[ფრაქციების რაოდენობა]]</f>
        <v>2</v>
      </c>
      <c r="N10" s="20">
        <f>Table1[[#This Row],[თანამდებობის  რაოდენობა2]]-Table1[[#This Row],[თანამდებობის  რაოდენობა]]</f>
        <v>6</v>
      </c>
    </row>
    <row r="11" spans="2:14" x14ac:dyDescent="0.25">
      <c r="B11" s="8" t="s">
        <v>2</v>
      </c>
      <c r="C11" s="7">
        <v>28</v>
      </c>
      <c r="D11" s="7">
        <v>8</v>
      </c>
      <c r="E11" s="7">
        <f t="shared" si="0"/>
        <v>15</v>
      </c>
      <c r="F11" s="16">
        <f>Table1[[#This Row],[თანამდებობის  რაოდენობა]]/Table1[[#This Row],[წევრთა რაოდენობა]]*100</f>
        <v>53.571428571428569</v>
      </c>
      <c r="G11" s="7">
        <v>28</v>
      </c>
      <c r="H11" s="7">
        <v>5</v>
      </c>
      <c r="I11" s="7">
        <f>J11+7</f>
        <v>18</v>
      </c>
      <c r="J11" s="7">
        <v>11</v>
      </c>
      <c r="K11" s="16">
        <f>Table1[[#This Row],[თანამდებობის  რაოდენობა2]]/Table1[[#This Row],[წევრთა რაოდენობა2]]*100</f>
        <v>64.285714285714292</v>
      </c>
      <c r="L11" s="20">
        <f>Table1[[#This Row],[წევრთა რაოდენობა2]]-Table1[[#This Row],[წევრთა რაოდენობა]]</f>
        <v>0</v>
      </c>
      <c r="M11" s="20">
        <f>Table1[[#This Row],[ფრაქციების რაოდენობა2]]-Table1[[#This Row],[ფრაქციების რაოდენობა]]</f>
        <v>-3</v>
      </c>
      <c r="N11" s="20">
        <f>Table1[[#This Row],[თანამდებობის  რაოდენობა2]]-Table1[[#This Row],[თანამდებობის  რაოდენობა]]</f>
        <v>3</v>
      </c>
    </row>
    <row r="12" spans="2:14" x14ac:dyDescent="0.25">
      <c r="B12" s="8" t="s">
        <v>4</v>
      </c>
      <c r="C12" s="7">
        <f>16+15</f>
        <v>31</v>
      </c>
      <c r="D12" s="7">
        <v>8</v>
      </c>
      <c r="E12" s="7">
        <f t="shared" si="0"/>
        <v>15</v>
      </c>
      <c r="F12" s="16">
        <f>Table1[[#This Row],[თანამდებობის  რაოდენობა]]/Table1[[#This Row],[წევრთა რაოდენობა]]*100</f>
        <v>48.387096774193552</v>
      </c>
      <c r="G12" s="7">
        <v>31</v>
      </c>
      <c r="H12" s="7">
        <v>7</v>
      </c>
      <c r="I12" s="7">
        <f>J12+7</f>
        <v>21</v>
      </c>
      <c r="J12" s="7">
        <v>14</v>
      </c>
      <c r="K12" s="17">
        <f>Table1[[#This Row],[თანამდებობის  რაოდენობა2]]/Table1[[#This Row],[წევრთა რაოდენობა2]]*100</f>
        <v>67.741935483870961</v>
      </c>
      <c r="L12" s="22">
        <f>Table1[[#This Row],[წევრთა რაოდენობა2]]-Table1[[#This Row],[წევრთა რაოდენობა]]</f>
        <v>0</v>
      </c>
      <c r="M12" s="22">
        <f>Table1[[#This Row],[ფრაქციების რაოდენობა2]]-Table1[[#This Row],[ფრაქციების რაოდენობა]]</f>
        <v>-1</v>
      </c>
      <c r="N12" s="22">
        <f>Table1[[#This Row],[თანამდებობის  რაოდენობა2]]-Table1[[#This Row],[თანამდებობის  რაოდენობა]]</f>
        <v>6</v>
      </c>
    </row>
    <row r="13" spans="2:14" x14ac:dyDescent="0.25">
      <c r="B13" s="6"/>
      <c r="C13" s="6">
        <f>SUM(C4:C12)</f>
        <v>296</v>
      </c>
      <c r="D13" s="6">
        <f>SUM(D4:D12)</f>
        <v>69</v>
      </c>
      <c r="E13" s="6">
        <f>SUM(E4:E12)</f>
        <v>139</v>
      </c>
      <c r="F13" s="23">
        <f>AVERAGE(Table1[თანამდებობა/მთლიანი (%)])</f>
        <v>48.846405863461847</v>
      </c>
      <c r="G13" s="6">
        <f>SUM(G4:G12)</f>
        <v>303</v>
      </c>
      <c r="H13" s="6">
        <f>SUM(H4:H12)</f>
        <v>51</v>
      </c>
      <c r="I13" s="6">
        <f>SUM(I4:I12)</f>
        <v>169</v>
      </c>
      <c r="J13" s="6">
        <f>SUM(J4:J12)</f>
        <v>105</v>
      </c>
      <c r="K13" s="23">
        <f>AVERAGE(K4:K12)</f>
        <v>57.017404710953102</v>
      </c>
      <c r="L13" s="6">
        <f>SUM(Table1[წევრთა რაოდენობა22])</f>
        <v>7</v>
      </c>
      <c r="M13" s="6">
        <f>SUM(M4:M12)</f>
        <v>-18</v>
      </c>
      <c r="N13" s="6">
        <f>SUM(N4:N12)</f>
        <v>30</v>
      </c>
    </row>
    <row r="14" spans="2:14" x14ac:dyDescent="0.25">
      <c r="F14" s="11" t="s">
        <v>28</v>
      </c>
      <c r="G14" s="11"/>
      <c r="H14" s="11"/>
      <c r="I14" s="11"/>
      <c r="J14" s="11"/>
      <c r="K14" s="11" t="s">
        <v>28</v>
      </c>
      <c r="L14" s="11"/>
      <c r="M14" s="11"/>
      <c r="N14" s="11"/>
    </row>
    <row r="20" spans="7:7" x14ac:dyDescent="0.25">
      <c r="G20" s="41"/>
    </row>
  </sheetData>
  <mergeCells count="3">
    <mergeCell ref="G2:K2"/>
    <mergeCell ref="C2:F2"/>
    <mergeCell ref="L2:N2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6"/>
  <sheetViews>
    <sheetView topLeftCell="A7" workbookViewId="0">
      <selection activeCell="B6" sqref="B6:K14"/>
    </sheetView>
  </sheetViews>
  <sheetFormatPr defaultRowHeight="15" x14ac:dyDescent="0.25"/>
  <cols>
    <col min="2" max="2" width="22.5703125" customWidth="1"/>
    <col min="3" max="6" width="0" hidden="1" customWidth="1"/>
    <col min="8" max="8" width="0" hidden="1" customWidth="1"/>
    <col min="10" max="10" width="0" hidden="1" customWidth="1"/>
    <col min="11" max="11" width="9.5703125" bestFit="1" customWidth="1"/>
  </cols>
  <sheetData>
    <row r="3" spans="2:11" ht="15.75" thickBot="1" x14ac:dyDescent="0.3"/>
    <row r="4" spans="2:11" ht="15.75" thickBot="1" x14ac:dyDescent="0.3">
      <c r="C4" s="47" t="s">
        <v>10</v>
      </c>
      <c r="D4" s="48"/>
      <c r="E4" s="48"/>
      <c r="F4" s="49"/>
      <c r="G4" s="44" t="s">
        <v>11</v>
      </c>
      <c r="H4" s="45"/>
      <c r="I4" s="45"/>
      <c r="J4" s="45"/>
      <c r="K4" s="46"/>
    </row>
    <row r="5" spans="2:11" ht="138" x14ac:dyDescent="0.25">
      <c r="B5" s="5" t="s">
        <v>22</v>
      </c>
      <c r="C5" s="9" t="s">
        <v>13</v>
      </c>
      <c r="D5" s="9" t="s">
        <v>14</v>
      </c>
      <c r="E5" s="9" t="s">
        <v>16</v>
      </c>
      <c r="F5" s="9" t="s">
        <v>20</v>
      </c>
      <c r="G5" s="9" t="s">
        <v>19</v>
      </c>
      <c r="H5" s="9" t="s">
        <v>15</v>
      </c>
      <c r="I5" s="10" t="s">
        <v>18</v>
      </c>
      <c r="J5" s="9" t="s">
        <v>17</v>
      </c>
      <c r="K5" s="9" t="s">
        <v>21</v>
      </c>
    </row>
    <row r="6" spans="2:11" x14ac:dyDescent="0.25">
      <c r="B6" s="8" t="s">
        <v>0</v>
      </c>
      <c r="C6" s="7">
        <v>30</v>
      </c>
      <c r="D6" s="7">
        <v>8</v>
      </c>
      <c r="E6" s="7">
        <f t="shared" ref="E6:E13" si="0">D6+7</f>
        <v>15</v>
      </c>
      <c r="F6" s="7">
        <f>Table13[[#This Row],[თანამდებობის  რაოდენობა]]/Table13[[#This Row],[წევრთა რაოდენობა]]*100</f>
        <v>50</v>
      </c>
      <c r="G6" s="7">
        <v>33</v>
      </c>
      <c r="H6" s="7">
        <v>4</v>
      </c>
      <c r="I6" s="7">
        <f>J6+5+2</f>
        <v>16</v>
      </c>
      <c r="J6" s="7">
        <v>9</v>
      </c>
      <c r="K6" s="15">
        <f>Table13[[#This Row],[თანამდებობის  რაოდენობა2]]/Table13[[#This Row],[წევრთა რაოდენობა2]]*100</f>
        <v>48.484848484848484</v>
      </c>
    </row>
    <row r="7" spans="2:11" x14ac:dyDescent="0.25">
      <c r="B7" s="8" t="s">
        <v>3</v>
      </c>
      <c r="C7" s="7">
        <f>16+15</f>
        <v>31</v>
      </c>
      <c r="D7" s="7">
        <v>8</v>
      </c>
      <c r="E7" s="7">
        <f t="shared" si="0"/>
        <v>15</v>
      </c>
      <c r="F7" s="7">
        <f>Table13[[#This Row],[თანამდებობის  რაოდენობა]]/Table13[[#This Row],[წევრთა რაოდენობა]]*100</f>
        <v>48.387096774193552</v>
      </c>
      <c r="G7" s="7">
        <v>32</v>
      </c>
      <c r="H7" s="7">
        <v>6</v>
      </c>
      <c r="I7" s="7">
        <f>J7+5+2</f>
        <v>20</v>
      </c>
      <c r="J7" s="7">
        <v>13</v>
      </c>
      <c r="K7" s="16">
        <f>Table13[[#This Row],[თანამდებობის  რაოდენობა2]]/Table13[[#This Row],[წევრთა რაოდენობა2]]*100</f>
        <v>62.5</v>
      </c>
    </row>
    <row r="8" spans="2:11" x14ac:dyDescent="0.25">
      <c r="B8" s="8" t="s">
        <v>12</v>
      </c>
      <c r="C8" s="7">
        <v>15</v>
      </c>
      <c r="D8" s="7">
        <v>3</v>
      </c>
      <c r="E8" s="7">
        <f t="shared" si="0"/>
        <v>10</v>
      </c>
      <c r="F8" s="7">
        <f>Table13[[#This Row],[თანამდებობის  რაოდენობა]]/Table13[[#This Row],[წევრთა რაოდენობა]]*100</f>
        <v>66.666666666666657</v>
      </c>
      <c r="G8" s="7">
        <v>25</v>
      </c>
      <c r="H8" s="7">
        <v>5</v>
      </c>
      <c r="I8" s="7">
        <f>J8+5+2</f>
        <v>16</v>
      </c>
      <c r="J8" s="7">
        <v>9</v>
      </c>
      <c r="K8" s="16">
        <f>Table13[[#This Row],[თანამდებობის  რაოდენობა2]]/Table13[[#This Row],[წევრთა რაოდენობა2]]*100</f>
        <v>64</v>
      </c>
    </row>
    <row r="9" spans="2:11" x14ac:dyDescent="0.25">
      <c r="B9" s="8" t="s">
        <v>1</v>
      </c>
      <c r="C9" s="7">
        <f>14+15</f>
        <v>29</v>
      </c>
      <c r="D9" s="7">
        <v>6</v>
      </c>
      <c r="E9" s="7">
        <f t="shared" si="0"/>
        <v>13</v>
      </c>
      <c r="F9" s="7">
        <f>Table13[[#This Row],[თანამდებობის  რაოდენობა]]/Table13[[#This Row],[წევრთა რაოდენობა]]*100</f>
        <v>44.827586206896555</v>
      </c>
      <c r="G9" s="7">
        <v>30</v>
      </c>
      <c r="H9" s="7">
        <v>4</v>
      </c>
      <c r="I9" s="7">
        <f>J9+5+2</f>
        <v>16</v>
      </c>
      <c r="J9" s="7">
        <v>9</v>
      </c>
      <c r="K9" s="16">
        <f>Table13[[#This Row],[თანამდებობის  რაოდენობა2]]/Table13[[#This Row],[წევრთა რაოდენობა2]]*100</f>
        <v>53.333333333333336</v>
      </c>
    </row>
    <row r="10" spans="2:11" x14ac:dyDescent="0.25">
      <c r="B10" s="8" t="s">
        <v>4</v>
      </c>
      <c r="C10" s="7">
        <f>16+15</f>
        <v>31</v>
      </c>
      <c r="D10" s="7">
        <v>8</v>
      </c>
      <c r="E10" s="7">
        <f t="shared" si="0"/>
        <v>15</v>
      </c>
      <c r="F10" s="7">
        <f>Table13[[#This Row],[თანამდებობის  რაოდენობა]]/Table13[[#This Row],[წევრთა რაოდენობა]]*100</f>
        <v>48.387096774193552</v>
      </c>
      <c r="G10" s="7">
        <v>31</v>
      </c>
      <c r="H10" s="7">
        <v>7</v>
      </c>
      <c r="I10" s="7">
        <f>J10+7</f>
        <v>21</v>
      </c>
      <c r="J10" s="7">
        <v>14</v>
      </c>
      <c r="K10" s="16">
        <f>Table13[[#This Row],[თანამდებობის  რაოდენობა2]]/Table13[[#This Row],[წევრთა რაოდენობა2]]*100</f>
        <v>67.741935483870961</v>
      </c>
    </row>
    <row r="11" spans="2:11" x14ac:dyDescent="0.25">
      <c r="B11" s="8" t="s">
        <v>7</v>
      </c>
      <c r="C11" s="7">
        <f>21+15</f>
        <v>36</v>
      </c>
      <c r="D11" s="7">
        <v>7</v>
      </c>
      <c r="E11" s="7">
        <f t="shared" si="0"/>
        <v>14</v>
      </c>
      <c r="F11" s="7">
        <f>Table13[[#This Row],[თანამდებობის  რაოდენობა]]/Table13[[#This Row],[წევრთა რაოდენობა]]*100</f>
        <v>38.888888888888893</v>
      </c>
      <c r="G11" s="7">
        <v>37</v>
      </c>
      <c r="H11" s="7">
        <v>5</v>
      </c>
      <c r="I11" s="7">
        <f>J11+7</f>
        <v>18</v>
      </c>
      <c r="J11" s="7">
        <v>11</v>
      </c>
      <c r="K11" s="16">
        <f>Table13[[#This Row],[თანამდებობის  რაოდენობა2]]/Table13[[#This Row],[წევრთა რაოდენობა2]]*100</f>
        <v>48.648648648648653</v>
      </c>
    </row>
    <row r="12" spans="2:11" x14ac:dyDescent="0.25">
      <c r="B12" s="8" t="s">
        <v>2</v>
      </c>
      <c r="C12" s="7">
        <v>28</v>
      </c>
      <c r="D12" s="7">
        <v>8</v>
      </c>
      <c r="E12" s="7">
        <f t="shared" si="0"/>
        <v>15</v>
      </c>
      <c r="F12" s="7">
        <f>Table13[[#This Row],[თანამდებობის  რაოდენობა]]/Table13[[#This Row],[წევრთა რაოდენობა]]*100</f>
        <v>53.571428571428569</v>
      </c>
      <c r="G12" s="7">
        <v>28</v>
      </c>
      <c r="H12" s="7">
        <v>5</v>
      </c>
      <c r="I12" s="7">
        <f>J12+7</f>
        <v>18</v>
      </c>
      <c r="J12" s="7">
        <v>11</v>
      </c>
      <c r="K12" s="16">
        <f>Table13[[#This Row],[თანამდებობის  რაოდენობა2]]/Table13[[#This Row],[წევრთა რაოდენობა2]]*100</f>
        <v>64.285714285714292</v>
      </c>
    </row>
    <row r="13" spans="2:11" x14ac:dyDescent="0.25">
      <c r="B13" s="8" t="s">
        <v>5</v>
      </c>
      <c r="C13" s="7">
        <f>21+15</f>
        <v>36</v>
      </c>
      <c r="D13" s="7">
        <v>10</v>
      </c>
      <c r="E13" s="7">
        <f t="shared" si="0"/>
        <v>17</v>
      </c>
      <c r="F13" s="7">
        <f>Table13[[#This Row],[თანამდებობის  რაოდენობა]]/Table13[[#This Row],[წევრთა რაოდენობა]]*100</f>
        <v>47.222222222222221</v>
      </c>
      <c r="G13" s="7">
        <v>37</v>
      </c>
      <c r="H13" s="7">
        <v>9</v>
      </c>
      <c r="I13" s="7">
        <f>J13+7</f>
        <v>23</v>
      </c>
      <c r="J13" s="7">
        <v>16</v>
      </c>
      <c r="K13" s="16">
        <f>Table13[[#This Row],[თანამდებობის  რაოდენობა2]]/Table13[[#This Row],[წევრთა რაოდენობა2]]*100</f>
        <v>62.162162162162161</v>
      </c>
    </row>
    <row r="14" spans="2:11" x14ac:dyDescent="0.25">
      <c r="B14" s="8" t="s">
        <v>8</v>
      </c>
      <c r="C14" s="7">
        <v>60</v>
      </c>
      <c r="D14" s="7">
        <v>11</v>
      </c>
      <c r="E14" s="7">
        <f>D14+10+4</f>
        <v>25</v>
      </c>
      <c r="F14" s="7">
        <f>Table13[[#This Row],[თანამდებობის  რაოდენობა]]/Table13[[#This Row],[წევრთა რაოდენობა]]*100</f>
        <v>41.666666666666671</v>
      </c>
      <c r="G14" s="7">
        <v>50</v>
      </c>
      <c r="H14" s="7">
        <v>6</v>
      </c>
      <c r="I14" s="7">
        <f>J14+8</f>
        <v>21</v>
      </c>
      <c r="J14" s="7">
        <v>13</v>
      </c>
      <c r="K14" s="17">
        <f>Table13[[#This Row],[თანამდებობის  რაოდენობა2]]/Table13[[#This Row],[წევრთა რაოდენობა2]]*100</f>
        <v>42</v>
      </c>
    </row>
    <row r="15" spans="2:11" x14ac:dyDescent="0.25">
      <c r="B15" s="6"/>
      <c r="C15" s="6">
        <f>SUM(C6:C14)</f>
        <v>296</v>
      </c>
      <c r="D15" s="6">
        <f>SUM(D6:D14)</f>
        <v>69</v>
      </c>
      <c r="E15" s="6">
        <f>SUM(E6:E14)</f>
        <v>139</v>
      </c>
      <c r="F15" s="6">
        <f>AVERAGE(Table13[თანამდებობა/მთლიანი (%)])</f>
        <v>48.846405863461854</v>
      </c>
      <c r="G15" s="6">
        <f>SUM(G6:G14)</f>
        <v>303</v>
      </c>
      <c r="H15" s="6">
        <f>SUM(H6:H14)</f>
        <v>51</v>
      </c>
      <c r="I15" s="6">
        <f>SUM(I6:I14)</f>
        <v>169</v>
      </c>
      <c r="J15" s="6">
        <f>SUM(J6:J14)</f>
        <v>105</v>
      </c>
      <c r="K15" s="6">
        <f>AVERAGE(K6:K14)</f>
        <v>57.017404710953102</v>
      </c>
    </row>
    <row r="16" spans="2:11" x14ac:dyDescent="0.25">
      <c r="F16" s="11" t="s">
        <v>23</v>
      </c>
      <c r="G16" s="11"/>
      <c r="H16" s="11"/>
      <c r="I16" s="11"/>
      <c r="J16" s="11"/>
      <c r="K16" s="11" t="s">
        <v>23</v>
      </c>
    </row>
  </sheetData>
  <mergeCells count="2">
    <mergeCell ref="C4:F4"/>
    <mergeCell ref="G4:K4"/>
  </mergeCells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1"/>
  <sheetViews>
    <sheetView workbookViewId="0">
      <selection activeCell="A3" sqref="A3:J11"/>
    </sheetView>
  </sheetViews>
  <sheetFormatPr defaultRowHeight="15" x14ac:dyDescent="0.25"/>
  <cols>
    <col min="2" max="5" width="0" hidden="1" customWidth="1"/>
    <col min="7" max="7" width="0" hidden="1" customWidth="1"/>
    <col min="9" max="9" width="0" hidden="1" customWidth="1"/>
  </cols>
  <sheetData>
    <row r="3" spans="1:10" ht="15.75" customHeight="1" x14ac:dyDescent="0.25">
      <c r="A3" s="12" t="s">
        <v>0</v>
      </c>
      <c r="B3" s="13">
        <v>30</v>
      </c>
      <c r="C3" s="13">
        <v>8</v>
      </c>
      <c r="D3" s="13">
        <f t="shared" ref="D3:D10" si="0">C3+7</f>
        <v>15</v>
      </c>
      <c r="E3" s="13" t="e">
        <f>Table13[[#This Row],[თანამდებობის  რაოდენობა]]/Table13[[#This Row],[წევრთა რაოდენობა]]*100</f>
        <v>#VALUE!</v>
      </c>
      <c r="F3" s="13">
        <v>33</v>
      </c>
      <c r="G3" s="13">
        <v>4</v>
      </c>
      <c r="H3" s="13">
        <f>I3+5+2</f>
        <v>16</v>
      </c>
      <c r="I3" s="13">
        <v>9</v>
      </c>
      <c r="J3" s="18">
        <f>H3/F3*100</f>
        <v>48.484848484848484</v>
      </c>
    </row>
    <row r="4" spans="1:10" x14ac:dyDescent="0.25">
      <c r="A4" s="8" t="s">
        <v>3</v>
      </c>
      <c r="B4" s="14">
        <f>16+15</f>
        <v>31</v>
      </c>
      <c r="C4" s="14">
        <v>8</v>
      </c>
      <c r="D4" s="14">
        <f t="shared" si="0"/>
        <v>15</v>
      </c>
      <c r="E4" s="14" t="e">
        <f>Table13[[#This Row],[თანამდებობის  რაოდენობა]]/Table13[[#This Row],[წევრთა რაოდენობა]]*100</f>
        <v>#VALUE!</v>
      </c>
      <c r="F4" s="14">
        <v>32</v>
      </c>
      <c r="G4" s="14">
        <v>6</v>
      </c>
      <c r="H4" s="14">
        <f>I4+5+2</f>
        <v>20</v>
      </c>
      <c r="I4" s="14">
        <v>13</v>
      </c>
      <c r="J4" s="19">
        <f>H4/F4*100</f>
        <v>62.5</v>
      </c>
    </row>
    <row r="5" spans="1:10" x14ac:dyDescent="0.25">
      <c r="A5" s="12" t="s">
        <v>12</v>
      </c>
      <c r="B5" s="13">
        <v>15</v>
      </c>
      <c r="C5" s="13">
        <v>3</v>
      </c>
      <c r="D5" s="13">
        <f t="shared" si="0"/>
        <v>10</v>
      </c>
      <c r="E5" s="13" t="e">
        <f>Table13[[#This Row],[თანამდებობის  რაოდენობა]]/Table13[[#This Row],[წევრთა რაოდენობა]]*100</f>
        <v>#VALUE!</v>
      </c>
      <c r="F5" s="13">
        <v>25</v>
      </c>
      <c r="G5" s="13">
        <v>5</v>
      </c>
      <c r="H5" s="13">
        <f>I5+5+2</f>
        <v>16</v>
      </c>
      <c r="I5" s="13">
        <v>9</v>
      </c>
      <c r="J5" s="18">
        <f t="shared" ref="J5:J11" si="1">H5/F5*100</f>
        <v>64</v>
      </c>
    </row>
    <row r="6" spans="1:10" x14ac:dyDescent="0.25">
      <c r="A6" s="8" t="s">
        <v>1</v>
      </c>
      <c r="B6" s="14">
        <f>14+15</f>
        <v>29</v>
      </c>
      <c r="C6" s="14">
        <v>6</v>
      </c>
      <c r="D6" s="14">
        <f t="shared" si="0"/>
        <v>13</v>
      </c>
      <c r="E6" s="14">
        <f>Table13[[#This Row],[თანამდებობის  რაოდენობა]]/Table13[[#This Row],[წევრთა რაოდენობა]]*100</f>
        <v>50</v>
      </c>
      <c r="F6" s="14">
        <v>30</v>
      </c>
      <c r="G6" s="14">
        <v>4</v>
      </c>
      <c r="H6" s="14">
        <f>I6+5+2</f>
        <v>16</v>
      </c>
      <c r="I6" s="14">
        <v>9</v>
      </c>
      <c r="J6" s="19">
        <f t="shared" si="1"/>
        <v>53.333333333333336</v>
      </c>
    </row>
    <row r="7" spans="1:10" x14ac:dyDescent="0.25">
      <c r="A7" s="12" t="s">
        <v>4</v>
      </c>
      <c r="B7" s="13">
        <f>16+15</f>
        <v>31</v>
      </c>
      <c r="C7" s="13">
        <v>8</v>
      </c>
      <c r="D7" s="13">
        <f t="shared" si="0"/>
        <v>15</v>
      </c>
      <c r="E7" s="13">
        <f>Table13[[#This Row],[თანამდებობის  რაოდენობა]]/Table13[[#This Row],[წევრთა რაოდენობა]]*100</f>
        <v>48.387096774193552</v>
      </c>
      <c r="F7" s="13">
        <v>31</v>
      </c>
      <c r="G7" s="13">
        <v>7</v>
      </c>
      <c r="H7" s="13">
        <f>I7+7</f>
        <v>21</v>
      </c>
      <c r="I7" s="13">
        <v>14</v>
      </c>
      <c r="J7" s="18">
        <f t="shared" si="1"/>
        <v>67.741935483870961</v>
      </c>
    </row>
    <row r="8" spans="1:10" x14ac:dyDescent="0.25">
      <c r="A8" s="8" t="s">
        <v>7</v>
      </c>
      <c r="B8" s="14">
        <f>21+15</f>
        <v>36</v>
      </c>
      <c r="C8" s="14">
        <v>7</v>
      </c>
      <c r="D8" s="14">
        <f t="shared" si="0"/>
        <v>14</v>
      </c>
      <c r="E8" s="14">
        <f>Table13[[#This Row],[თანამდებობის  რაოდენობა]]/Table13[[#This Row],[წევრთა რაოდენობა]]*100</f>
        <v>66.666666666666657</v>
      </c>
      <c r="F8" s="14">
        <v>37</v>
      </c>
      <c r="G8" s="14">
        <v>5</v>
      </c>
      <c r="H8" s="14">
        <f>I8+7</f>
        <v>18</v>
      </c>
      <c r="I8" s="14">
        <v>11</v>
      </c>
      <c r="J8" s="19">
        <f t="shared" si="1"/>
        <v>48.648648648648653</v>
      </c>
    </row>
    <row r="9" spans="1:10" x14ac:dyDescent="0.25">
      <c r="A9" s="12" t="s">
        <v>2</v>
      </c>
      <c r="B9" s="13">
        <v>28</v>
      </c>
      <c r="C9" s="13">
        <v>8</v>
      </c>
      <c r="D9" s="13">
        <f t="shared" si="0"/>
        <v>15</v>
      </c>
      <c r="E9" s="13">
        <f>Table13[[#This Row],[თანამდებობის  რაოდენობა]]/Table13[[#This Row],[წევრთა რაოდენობა]]*100</f>
        <v>44.827586206896555</v>
      </c>
      <c r="F9" s="13">
        <v>28</v>
      </c>
      <c r="G9" s="13">
        <v>5</v>
      </c>
      <c r="H9" s="13">
        <f>I9+7</f>
        <v>18</v>
      </c>
      <c r="I9" s="13">
        <v>11</v>
      </c>
      <c r="J9" s="18">
        <f t="shared" si="1"/>
        <v>64.285714285714292</v>
      </c>
    </row>
    <row r="10" spans="1:10" x14ac:dyDescent="0.25">
      <c r="A10" s="8" t="s">
        <v>5</v>
      </c>
      <c r="B10" s="14">
        <f>21+15</f>
        <v>36</v>
      </c>
      <c r="C10" s="14">
        <v>10</v>
      </c>
      <c r="D10" s="14">
        <f t="shared" si="0"/>
        <v>17</v>
      </c>
      <c r="E10" s="14">
        <f>Table13[[#This Row],[თანამდებობის  რაოდენობა]]/Table13[[#This Row],[წევრთა რაოდენობა]]*100</f>
        <v>48.387096774193552</v>
      </c>
      <c r="F10" s="14">
        <v>37</v>
      </c>
      <c r="G10" s="14">
        <v>9</v>
      </c>
      <c r="H10" s="14">
        <f>I10+7</f>
        <v>23</v>
      </c>
      <c r="I10" s="14">
        <v>16</v>
      </c>
      <c r="J10" s="19">
        <f t="shared" si="1"/>
        <v>62.162162162162161</v>
      </c>
    </row>
    <row r="11" spans="1:10" x14ac:dyDescent="0.25">
      <c r="A11" s="12" t="s">
        <v>8</v>
      </c>
      <c r="B11" s="13">
        <v>60</v>
      </c>
      <c r="C11" s="13">
        <v>11</v>
      </c>
      <c r="D11" s="13">
        <f>C11+10+4</f>
        <v>25</v>
      </c>
      <c r="E11" s="13">
        <f>Table13[[#This Row],[თანამდებობის  რაოდენობა]]/Table13[[#This Row],[წევრთა რაოდენობა]]*100</f>
        <v>38.888888888888893</v>
      </c>
      <c r="F11" s="13">
        <v>50</v>
      </c>
      <c r="G11" s="13">
        <v>6</v>
      </c>
      <c r="H11" s="13">
        <f>I11+8</f>
        <v>21</v>
      </c>
      <c r="I11" s="13">
        <v>13</v>
      </c>
      <c r="J11" s="18">
        <f t="shared" si="1"/>
        <v>42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8"/>
  <sheetViews>
    <sheetView workbookViewId="0">
      <selection activeCell="I14" sqref="I14"/>
    </sheetView>
  </sheetViews>
  <sheetFormatPr defaultRowHeight="15" x14ac:dyDescent="0.25"/>
  <cols>
    <col min="2" max="2" width="14.28515625" style="5" customWidth="1"/>
    <col min="3" max="11" width="9.85546875" customWidth="1"/>
  </cols>
  <sheetData>
    <row r="2" spans="2:11" x14ac:dyDescent="0.25">
      <c r="B2" s="27"/>
      <c r="C2" s="30" t="s">
        <v>0</v>
      </c>
      <c r="D2" s="30" t="s">
        <v>3</v>
      </c>
      <c r="E2" s="30" t="s">
        <v>12</v>
      </c>
      <c r="F2" s="30" t="s">
        <v>1</v>
      </c>
      <c r="G2" s="30" t="s">
        <v>2</v>
      </c>
      <c r="H2" s="30" t="s">
        <v>4</v>
      </c>
      <c r="I2" s="30" t="s">
        <v>5</v>
      </c>
      <c r="J2" s="30" t="s">
        <v>7</v>
      </c>
      <c r="K2" s="30" t="s">
        <v>8</v>
      </c>
    </row>
    <row r="3" spans="2:11" x14ac:dyDescent="0.25">
      <c r="B3" s="29" t="s">
        <v>29</v>
      </c>
      <c r="C3" s="29"/>
      <c r="D3" s="32"/>
      <c r="E3" s="32"/>
      <c r="F3" s="32"/>
      <c r="G3" s="32"/>
      <c r="H3" s="32"/>
      <c r="I3" s="32"/>
      <c r="J3" s="32"/>
      <c r="K3" s="33"/>
    </row>
    <row r="4" spans="2:11" x14ac:dyDescent="0.25">
      <c r="B4" s="28" t="s">
        <v>31</v>
      </c>
      <c r="C4" s="31">
        <v>1700</v>
      </c>
      <c r="D4" s="31">
        <v>1650</v>
      </c>
      <c r="E4" s="31">
        <v>2400</v>
      </c>
      <c r="F4" s="31">
        <v>1350</v>
      </c>
      <c r="G4" s="31">
        <v>1350</v>
      </c>
      <c r="H4" s="31">
        <v>1350</v>
      </c>
      <c r="I4" s="31">
        <v>1687</v>
      </c>
      <c r="J4" s="31">
        <v>1500</v>
      </c>
      <c r="K4" s="31">
        <v>2000</v>
      </c>
    </row>
    <row r="5" spans="2:11" x14ac:dyDescent="0.25">
      <c r="B5" s="28" t="s">
        <v>32</v>
      </c>
      <c r="C5" s="27">
        <v>1700</v>
      </c>
      <c r="D5" s="27">
        <v>1650</v>
      </c>
      <c r="E5" s="27">
        <v>2500</v>
      </c>
      <c r="F5" s="27">
        <v>1350</v>
      </c>
      <c r="G5" s="27">
        <v>1350</v>
      </c>
      <c r="H5" s="27">
        <v>1350</v>
      </c>
      <c r="I5" s="27">
        <v>1700</v>
      </c>
      <c r="J5" s="27">
        <v>1550</v>
      </c>
      <c r="K5" s="27">
        <v>2000</v>
      </c>
    </row>
    <row r="6" spans="2:11" x14ac:dyDescent="0.25">
      <c r="B6" s="34" t="s">
        <v>24</v>
      </c>
      <c r="C6" s="35">
        <f>C4-C5</f>
        <v>0</v>
      </c>
      <c r="D6" s="35">
        <f>D4-D5</f>
        <v>0</v>
      </c>
      <c r="E6" s="35">
        <f>E5-E4</f>
        <v>100</v>
      </c>
      <c r="F6" s="35">
        <v>0</v>
      </c>
      <c r="G6" s="35">
        <v>0</v>
      </c>
      <c r="H6" s="35">
        <v>0</v>
      </c>
      <c r="I6" s="35">
        <f>I5-I4</f>
        <v>13</v>
      </c>
      <c r="J6" s="35">
        <f>J5-J4</f>
        <v>50</v>
      </c>
      <c r="K6" s="35">
        <v>0</v>
      </c>
    </row>
    <row r="7" spans="2:11" x14ac:dyDescent="0.25">
      <c r="B7" s="37"/>
      <c r="C7" s="38"/>
      <c r="D7" s="38"/>
      <c r="E7" s="38"/>
      <c r="F7" s="38"/>
      <c r="G7" s="38"/>
      <c r="H7" s="38"/>
      <c r="I7" s="38"/>
      <c r="J7" s="38"/>
      <c r="K7" s="39"/>
    </row>
    <row r="8" spans="2:11" x14ac:dyDescent="0.25">
      <c r="B8" s="36" t="s">
        <v>30</v>
      </c>
      <c r="C8" s="40">
        <v>1200</v>
      </c>
      <c r="D8" s="40">
        <v>1200</v>
      </c>
      <c r="E8" s="40">
        <v>2200</v>
      </c>
      <c r="F8" s="40">
        <v>1100</v>
      </c>
      <c r="G8" s="40">
        <v>1100</v>
      </c>
      <c r="H8" s="40">
        <v>1050</v>
      </c>
      <c r="I8" s="40">
        <v>1250</v>
      </c>
      <c r="J8" s="40">
        <v>1200</v>
      </c>
      <c r="K8" s="40">
        <v>1250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2018-05-11T09:26:06Z</dcterms:modified>
</cp:coreProperties>
</file>